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threadedComments/threadedComment5.xml" ContentType="application/vnd.ms-excel.threadedcomments+xml"/>
  <Override PartName="/xl/comments6.xml" ContentType="application/vnd.openxmlformats-officedocument.spreadsheetml.comments+xml"/>
  <Override PartName="/xl/threadedComments/threadedComment6.xml" ContentType="application/vnd.ms-excel.threadedcomments+xml"/>
  <Override PartName="/xl/drawings/drawing6.xml" ContentType="application/vnd.openxmlformats-officedocument.drawing+xml"/>
  <Override PartName="/xl/comments7.xml" ContentType="application/vnd.openxmlformats-officedocument.spreadsheetml.comments+xml"/>
  <Override PartName="/xl/threadedComments/threadedComment7.xml" ContentType="application/vnd.ms-excel.threadedcomments+xml"/>
  <Override PartName="/xl/comments8.xml" ContentType="application/vnd.openxmlformats-officedocument.spreadsheetml.comments+xml"/>
  <Override PartName="/xl/threadedComments/threadedComment8.xml" ContentType="application/vnd.ms-excel.threadedcomments+xml"/>
  <Override PartName="/xl/drawings/drawing7.xml" ContentType="application/vnd.openxmlformats-officedocument.drawing+xml"/>
  <Override PartName="/xl/comments9.xml" ContentType="application/vnd.openxmlformats-officedocument.spreadsheetml.comments+xml"/>
  <Override PartName="/xl/threadedComments/threadedComment9.xml" ContentType="application/vnd.ms-excel.threadedcomments+xml"/>
  <Override PartName="/xl/drawings/drawing8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audo\Downloads\"/>
    </mc:Choice>
  </mc:AlternateContent>
  <xr:revisionPtr revIDLastSave="0" documentId="13_ncr:1_{B0B65DC3-3AA2-405C-91B9-3737B9532435}" xr6:coauthVersionLast="47" xr6:coauthVersionMax="47" xr10:uidLastSave="{00000000-0000-0000-0000-000000000000}"/>
  <bookViews>
    <workbookView xWindow="-108" yWindow="-108" windowWidth="23256" windowHeight="12576" tabRatio="736" firstSheet="2" activeTab="3" xr2:uid="{00000000-000D-0000-FFFF-FFFF00000000}"/>
  </bookViews>
  <sheets>
    <sheet name="Global" sheetId="7" r:id="rId1"/>
    <sheet name="saturation" sheetId="6" r:id="rId2"/>
    <sheet name="ABSO" sheetId="1" r:id="rId3"/>
    <sheet name="abso_data" sheetId="8" r:id="rId4"/>
    <sheet name="OMD" sheetId="2" r:id="rId5"/>
    <sheet name="omd_data" sheetId="10" r:id="rId6"/>
    <sheet name="DCMD" sheetId="5" r:id="rId7"/>
    <sheet name="dcmd_data" sheetId="11" r:id="rId8"/>
    <sheet name="VMD" sheetId="4" r:id="rId9"/>
    <sheet name="vmd_data" sheetId="12" r:id="rId10"/>
    <sheet name="POST" sheetId="3" r:id="rId11"/>
    <sheet name="Driving force" sheetId="13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" i="1" l="1"/>
  <c r="E10" i="13"/>
  <c r="E11" i="13"/>
  <c r="E12" i="13"/>
  <c r="E13" i="13"/>
  <c r="E9" i="13"/>
  <c r="H24" i="12"/>
  <c r="I6" i="5"/>
  <c r="K24" i="12"/>
  <c r="C11" i="10"/>
  <c r="D47" i="1"/>
  <c r="I40" i="8" l="1"/>
  <c r="I35" i="8"/>
  <c r="H29" i="8"/>
  <c r="B24" i="1"/>
  <c r="D40" i="8"/>
  <c r="D35" i="8"/>
  <c r="C24" i="8"/>
  <c r="D37" i="5" l="1"/>
  <c r="U28" i="11" l="1"/>
  <c r="K32" i="11" l="1"/>
  <c r="L32" i="11"/>
  <c r="M32" i="11"/>
  <c r="N32" i="11"/>
  <c r="O32" i="11"/>
  <c r="P32" i="11"/>
  <c r="Q32" i="11"/>
  <c r="R32" i="11"/>
  <c r="S32" i="11"/>
  <c r="L24" i="12"/>
  <c r="M24" i="12" s="1"/>
  <c r="N24" i="12" s="1"/>
  <c r="O24" i="12" s="1"/>
  <c r="K28" i="11" l="1"/>
  <c r="L28" i="11" s="1"/>
  <c r="M28" i="11" s="1"/>
  <c r="K10" i="10"/>
  <c r="M7" i="1" l="1"/>
  <c r="E28" i="12"/>
  <c r="F28" i="12"/>
  <c r="D28" i="12"/>
  <c r="G32" i="11"/>
  <c r="H32" i="11"/>
  <c r="I32" i="11"/>
  <c r="E32" i="11"/>
  <c r="V20" i="5"/>
  <c r="Q26" i="5" s="1"/>
  <c r="T26" i="5" l="1"/>
  <c r="S26" i="5"/>
  <c r="R26" i="5"/>
  <c r="B17" i="5" l="1"/>
  <c r="G29" i="8" l="1"/>
  <c r="F29" i="8"/>
  <c r="E29" i="8"/>
  <c r="E24" i="8"/>
  <c r="F24" i="8"/>
  <c r="G24" i="8"/>
  <c r="H24" i="8"/>
  <c r="L5" i="1" l="1"/>
  <c r="K22" i="4" l="1"/>
  <c r="B8" i="4"/>
  <c r="B9" i="4" s="1"/>
  <c r="B12" i="4"/>
  <c r="B9" i="5"/>
  <c r="B13" i="5"/>
  <c r="K28" i="2"/>
  <c r="B8" i="2" l="1"/>
  <c r="B6" i="2" s="1"/>
  <c r="D32" i="1"/>
  <c r="D33" i="1"/>
  <c r="B11" i="2"/>
  <c r="N38" i="1"/>
  <c r="B12" i="2" l="1"/>
  <c r="B7" i="2"/>
  <c r="D31" i="1"/>
  <c r="C9" i="4" l="1"/>
  <c r="B16" i="4"/>
  <c r="C10" i="5"/>
  <c r="B18" i="2"/>
  <c r="B9" i="6" l="1"/>
  <c r="B10" i="6"/>
  <c r="K23" i="5" l="1"/>
  <c r="B5" i="5" s="1"/>
  <c r="D47" i="5" s="1"/>
  <c r="B8" i="6"/>
  <c r="B20" i="2"/>
  <c r="B36" i="2" s="1"/>
  <c r="N28" i="11" l="1"/>
  <c r="O28" i="11" s="1"/>
  <c r="T28" i="5"/>
  <c r="I25" i="10"/>
  <c r="J25" i="10" s="1"/>
  <c r="K25" i="10"/>
  <c r="L25" i="10" s="1"/>
  <c r="M25" i="10" s="1"/>
  <c r="H25" i="10"/>
  <c r="K37" i="4"/>
  <c r="G46" i="10"/>
  <c r="F25" i="10"/>
  <c r="E47" i="5"/>
  <c r="B13" i="4"/>
  <c r="B18" i="4"/>
  <c r="O31" i="4"/>
  <c r="C8" i="3"/>
  <c r="K35" i="4" l="1"/>
  <c r="L35" i="4"/>
  <c r="M35" i="4"/>
  <c r="B6" i="5"/>
  <c r="B31" i="5"/>
  <c r="B19" i="5"/>
  <c r="B14" i="5"/>
  <c r="V35" i="5"/>
  <c r="V33" i="5"/>
  <c r="V18" i="5"/>
  <c r="T41" i="5" l="1"/>
  <c r="S41" i="5"/>
  <c r="U41" i="5"/>
  <c r="R41" i="5"/>
  <c r="T39" i="5"/>
  <c r="U39" i="5"/>
  <c r="R39" i="5"/>
  <c r="S39" i="5"/>
  <c r="R24" i="5"/>
  <c r="Q24" i="5"/>
  <c r="S24" i="5"/>
  <c r="T24" i="5"/>
  <c r="D46" i="5"/>
  <c r="B10" i="5"/>
  <c r="B24" i="5" s="1"/>
  <c r="F34" i="2" l="1"/>
  <c r="M37" i="4" l="1"/>
  <c r="L37" i="4"/>
  <c r="N37" i="4"/>
  <c r="Q43" i="5"/>
  <c r="S43" i="5"/>
  <c r="U28" i="5"/>
  <c r="R28" i="5"/>
  <c r="R43" i="5"/>
  <c r="T43" i="5"/>
  <c r="S28" i="5"/>
  <c r="I11" i="2" l="1"/>
  <c r="D28" i="2" s="1" a="1"/>
  <c r="D28" i="2" s="1"/>
  <c r="C7" i="2"/>
  <c r="D15" i="2" l="1" a="1"/>
  <c r="D15" i="2" s="1"/>
  <c r="C38" i="2" s="1"/>
  <c r="B13" i="2"/>
  <c r="B8" i="1"/>
  <c r="C6" i="3" l="1"/>
  <c r="C7" i="3"/>
  <c r="C9" i="3"/>
  <c r="C10" i="3"/>
  <c r="C11" i="3"/>
  <c r="C5" i="3"/>
  <c r="C1" i="3" l="1"/>
  <c r="E50" i="4"/>
  <c r="I10" i="4" l="1"/>
  <c r="I11" i="5" l="1"/>
  <c r="G25" i="5"/>
  <c r="F36" i="2"/>
  <c r="F35" i="2"/>
  <c r="B60" i="1" l="1"/>
  <c r="F45" i="1"/>
  <c r="F52" i="1"/>
  <c r="C45" i="2"/>
  <c r="C46" i="2"/>
  <c r="C48" i="2" l="1"/>
  <c r="G35" i="1"/>
  <c r="C62" i="1"/>
  <c r="C64" i="1"/>
  <c r="C61" i="1"/>
  <c r="D27" i="5" l="1" a="1"/>
  <c r="D27" i="5" s="1"/>
  <c r="D35" i="5" l="1"/>
  <c r="D36" i="5"/>
  <c r="D13" i="5" a="1"/>
  <c r="D13" i="5" s="1"/>
  <c r="C11" i="5"/>
  <c r="C12" i="5"/>
  <c r="C14" i="2" l="1"/>
  <c r="C11" i="4"/>
  <c r="C10" i="4"/>
  <c r="D26" i="4" a="1"/>
  <c r="D26" i="4" s="1"/>
  <c r="D12" i="4" a="1"/>
  <c r="D12" i="4" s="1"/>
  <c r="C13" i="2"/>
  <c r="B33" i="1"/>
  <c r="B32" i="1"/>
  <c r="D34" i="4" l="1"/>
  <c r="B34" i="4" s="1"/>
  <c r="F12" i="1" l="1"/>
  <c r="B6" i="1"/>
  <c r="C12" i="1" l="1"/>
  <c r="H35" i="1" l="1"/>
  <c r="H33" i="1" s="1"/>
  <c r="N23" i="1" s="1"/>
  <c r="O23" i="1" s="1"/>
  <c r="D12" i="1"/>
  <c r="B37" i="2"/>
  <c r="L11" i="1" l="1"/>
  <c r="E12" i="1"/>
  <c r="B15" i="1"/>
  <c r="B16" i="1" s="1"/>
  <c r="E46" i="1"/>
  <c r="N29" i="1"/>
  <c r="H32" i="1"/>
  <c r="N22" i="1" s="1"/>
  <c r="N42" i="1" s="1"/>
  <c r="O42" i="1" s="1"/>
  <c r="N26" i="1"/>
  <c r="H30" i="1" a="1"/>
  <c r="H30" i="1" s="1"/>
  <c r="H31" i="1" a="1"/>
  <c r="H31" i="1" s="1"/>
  <c r="B38" i="2"/>
  <c r="F38" i="2"/>
  <c r="F39" i="2"/>
  <c r="N43" i="1"/>
  <c r="O43" i="1" s="1"/>
  <c r="C9" i="6"/>
  <c r="C10" i="6"/>
  <c r="D61" i="1" l="1"/>
  <c r="D60" i="1" s="1"/>
  <c r="N20" i="1" s="1"/>
  <c r="N19" i="1" s="1"/>
  <c r="H36" i="1"/>
  <c r="N44" i="1"/>
  <c r="O44" i="1" s="1"/>
  <c r="F40" i="2"/>
  <c r="E9" i="6"/>
  <c r="I5" i="4" s="1"/>
  <c r="D9" i="6"/>
  <c r="E10" i="6"/>
  <c r="D10" i="6"/>
  <c r="B14" i="2"/>
  <c r="B26" i="2"/>
  <c r="B25" i="2"/>
  <c r="D38" i="1"/>
  <c r="B17" i="4" l="1"/>
  <c r="B19" i="4"/>
  <c r="N40" i="1"/>
  <c r="O40" i="1" s="1"/>
  <c r="O20" i="1"/>
  <c r="B18" i="5"/>
  <c r="B20" i="5" s="1"/>
  <c r="B27" i="5" s="1"/>
  <c r="C24" i="5"/>
  <c r="F9" i="6"/>
  <c r="F10" i="6"/>
  <c r="B10" i="4"/>
  <c r="B24" i="4" s="1"/>
  <c r="D47" i="4"/>
  <c r="B11" i="4"/>
  <c r="B25" i="4" s="1"/>
  <c r="B12" i="5"/>
  <c r="B26" i="5" s="1"/>
  <c r="B11" i="5"/>
  <c r="B25" i="5" s="1"/>
  <c r="B27" i="2"/>
  <c r="K18" i="2"/>
  <c r="B41" i="1"/>
  <c r="B26" i="4" l="1"/>
  <c r="K18" i="4" s="1"/>
  <c r="B22" i="4"/>
  <c r="C25" i="4" s="1"/>
  <c r="B30" i="5"/>
  <c r="K21" i="5" s="1"/>
  <c r="K19" i="5"/>
  <c r="K19" i="2"/>
  <c r="B32" i="2"/>
  <c r="B13" i="7"/>
  <c r="C24" i="4" l="1"/>
  <c r="B8" i="7"/>
  <c r="C23" i="4" l="1"/>
  <c r="E49" i="4" l="1"/>
  <c r="E46" i="4"/>
  <c r="B23" i="4" l="1"/>
  <c r="C2" i="6" l="1"/>
  <c r="D2" i="6" s="1"/>
  <c r="C3" i="6"/>
  <c r="D3" i="6" s="1"/>
  <c r="C4" i="6"/>
  <c r="D4" i="6" s="1"/>
  <c r="C5" i="6"/>
  <c r="D5" i="6" s="1"/>
  <c r="C6" i="6"/>
  <c r="D6" i="6" s="1"/>
  <c r="C7" i="6"/>
  <c r="D7" i="6" s="1"/>
  <c r="C8" i="6"/>
  <c r="D8" i="6" s="1"/>
  <c r="O19" i="1" l="1"/>
  <c r="B39" i="5" l="1"/>
  <c r="B33" i="4"/>
  <c r="B35" i="2"/>
  <c r="B39" i="2" l="1"/>
  <c r="F41" i="2"/>
  <c r="B23" i="5"/>
  <c r="C25" i="5" s="1"/>
  <c r="E46" i="5"/>
  <c r="E45" i="5"/>
  <c r="G45" i="5" s="1"/>
  <c r="B37" i="5"/>
  <c r="B36" i="5"/>
  <c r="B35" i="5"/>
  <c r="D34" i="5"/>
  <c r="B34" i="5" s="1"/>
  <c r="B36" i="4"/>
  <c r="D35" i="4"/>
  <c r="B35" i="4" s="1"/>
  <c r="F35" i="4" l="1"/>
  <c r="C37" i="4"/>
  <c r="F35" i="5"/>
  <c r="F34" i="4"/>
  <c r="D54" i="4"/>
  <c r="E54" i="4" s="1"/>
  <c r="G46" i="5"/>
  <c r="F34" i="5"/>
  <c r="C26" i="5"/>
  <c r="E47" i="4"/>
  <c r="F47" i="4" s="1"/>
  <c r="B30" i="4"/>
  <c r="D48" i="4" s="1"/>
  <c r="E48" i="4" s="1"/>
  <c r="F36" i="4" l="1"/>
  <c r="F36" i="5"/>
  <c r="B40" i="5" s="1"/>
  <c r="B41" i="5" s="1"/>
  <c r="B42" i="5" s="1"/>
  <c r="K25" i="5" s="1"/>
  <c r="M25" i="5" s="1"/>
  <c r="E52" i="5"/>
  <c r="D49" i="5"/>
  <c r="E49" i="5" s="1"/>
  <c r="K24" i="5"/>
  <c r="D48" i="5"/>
  <c r="E48" i="5" s="1"/>
  <c r="K20" i="4"/>
  <c r="D8" i="1"/>
  <c r="E8" i="1" s="1"/>
  <c r="B7" i="1"/>
  <c r="B9" i="1" s="1"/>
  <c r="C38" i="1"/>
  <c r="F44" i="1"/>
  <c r="B37" i="4" l="1"/>
  <c r="B38" i="4" s="1"/>
  <c r="B39" i="4" s="1"/>
  <c r="E51" i="5"/>
  <c r="K27" i="2"/>
  <c r="K16" i="2"/>
  <c r="K27" i="5"/>
  <c r="G47" i="5"/>
  <c r="C15" i="1"/>
  <c r="D7" i="1"/>
  <c r="E7" i="1" s="1"/>
  <c r="D6" i="1"/>
  <c r="E6" i="1" s="1"/>
  <c r="K23" i="4" l="1"/>
  <c r="L23" i="4"/>
  <c r="N41" i="1"/>
  <c r="O41" i="1" s="1"/>
  <c r="O38" i="1" s="1"/>
  <c r="K26" i="5"/>
  <c r="F45" i="5"/>
  <c r="F47" i="5"/>
  <c r="F46" i="5"/>
  <c r="F49" i="5"/>
  <c r="F48" i="5"/>
  <c r="D15" i="1"/>
  <c r="T19" i="1" s="1"/>
  <c r="B17" i="1"/>
  <c r="B18" i="1" s="1"/>
  <c r="O22" i="1"/>
  <c r="F6" i="1"/>
  <c r="F8" i="1"/>
  <c r="E15" i="1"/>
  <c r="E51" i="4"/>
  <c r="K24" i="4" s="1"/>
  <c r="F48" i="4"/>
  <c r="F51" i="4" s="1" a="1"/>
  <c r="F51" i="4" s="1"/>
  <c r="E2" i="6"/>
  <c r="F2" i="6" s="1"/>
  <c r="E3" i="6"/>
  <c r="F3" i="6" s="1"/>
  <c r="E4" i="6"/>
  <c r="F4" i="6" s="1"/>
  <c r="E5" i="6"/>
  <c r="F5" i="6" s="1"/>
  <c r="E6" i="6"/>
  <c r="F6" i="6" s="1"/>
  <c r="E7" i="6"/>
  <c r="F7" i="6" s="1"/>
  <c r="E8" i="6"/>
  <c r="I5" i="2" s="1"/>
  <c r="B24" i="2" s="1"/>
  <c r="O17" i="1" l="1"/>
  <c r="B19" i="2"/>
  <c r="B21" i="2" s="1"/>
  <c r="B28" i="2" s="1"/>
  <c r="F8" i="6"/>
  <c r="G8" i="1"/>
  <c r="B20" i="1"/>
  <c r="B19" i="1"/>
  <c r="C17" i="1"/>
  <c r="F15" i="1"/>
  <c r="G6" i="1"/>
  <c r="C16" i="1"/>
  <c r="E16" i="1"/>
  <c r="E49" i="1"/>
  <c r="F49" i="1" s="1"/>
  <c r="F53" i="1" s="1"/>
  <c r="H16" i="1" l="1"/>
  <c r="D17" i="1"/>
  <c r="T20" i="1" s="1"/>
  <c r="T17" i="1" s="1"/>
  <c r="N30" i="1" s="1"/>
  <c r="H15" i="1"/>
  <c r="D16" i="1"/>
  <c r="F16" i="1"/>
  <c r="G16" i="1" s="1"/>
  <c r="K23" i="2"/>
  <c r="B31" i="2"/>
  <c r="B40" i="2"/>
  <c r="C25" i="2"/>
  <c r="B25" i="1" l="1"/>
  <c r="B26" i="1" s="1"/>
  <c r="B27" i="1" s="1"/>
  <c r="B38" i="1" s="1"/>
  <c r="C41" i="1" s="1"/>
  <c r="N31" i="1" s="1"/>
  <c r="C25" i="1"/>
  <c r="D18" i="1"/>
  <c r="C27" i="2"/>
  <c r="C26" i="2"/>
  <c r="C12" i="2"/>
  <c r="K29" i="2"/>
  <c r="C26" i="1" l="1"/>
  <c r="C27" i="1" s="1"/>
  <c r="E38" i="1"/>
  <c r="F38" i="1" s="1"/>
  <c r="N32" i="1"/>
  <c r="O32" i="1" s="1"/>
  <c r="M29" i="2"/>
  <c r="C32" i="2" l="1"/>
  <c r="E32" i="2"/>
  <c r="B33" i="2"/>
  <c r="K25" i="2" s="1"/>
  <c r="B50" i="2" l="1"/>
  <c r="C50" i="2" s="1"/>
  <c r="K31" i="2" s="1"/>
  <c r="N33" i="1"/>
  <c r="K30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tc={A09D1752-C5D4-4BEF-AAE7-F65CE9153E53}</author>
    <author>tc={B655A007-5604-4CBB-AD86-38E0AD4891F9}</author>
    <author>tc={3D168290-EEF7-4EF5-8151-A29643FF499E}</author>
    <author>tc={F2C7DD51-04B6-4DC4-9A89-D04C8C875715}</author>
  </authors>
  <commentList>
    <comment ref="A5" authorId="0" shapeId="0" xr:uid="{A09D1752-C5D4-4BEF-AAE7-F65CE9153E53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5 yr : doi : 10.2516/ogst/2013165
10 yr : 10.1016/j.desal.2011.12.026</t>
      </text>
    </comment>
    <comment ref="A12" authorId="1" shapeId="0" xr:uid="{B655A007-5604-4CBB-AD86-38E0AD4891F9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https://en.wikipedia.org/wiki/Premium_efficiency</t>
      </text>
    </comment>
    <comment ref="A20" authorId="2" shapeId="0" xr:uid="{3D168290-EEF7-4EF5-8151-A29643FF499E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[1] P. Yadav, N. Ismail, M. Essalhi, M. Tysklind, D. Athanassiadis, and N. Tavajohi, “Assessment of the environmental impact of polymeric membrane production,” J. Memb. Sci., vol. 622, no. September 2020, p. 118987, 2021, doi: 10.1016/j.memsci.2020.118987.</t>
      </text>
    </comment>
    <comment ref="A25" authorId="3" shapeId="0" xr:uid="{F2C7DD51-04B6-4DC4-9A89-D04C8C875715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2nd Edition
Ultrafiltration and Microfiltration Handbook
By Munir Cheryan
Réponse :
    efficiency : 0,5-0,85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tc={3FCDE3DD-127C-43D5-8A80-FE8F3207C1F8}</author>
    <author>tc={EB4DF04A-4190-4E6C-9691-106F976FCE57}</author>
    <author>tc={C00A498F-26E0-42A6-B18C-5548E9645813}</author>
    <author>tc={928AD57E-AC7A-4693-9307-0826917DC5AE}</author>
    <author>tc={7593C00C-4B0B-4A04-AB8D-CAF0A7619C00}</author>
    <author>tc={F0DDB304-EEEF-47E3-BA5F-A5D502BEF697}</author>
    <author>tc={F3C16050-3982-4734-B12D-BDCC732D849C}</author>
    <author>tc={FA35FCD0-A146-45BE-8886-5789F3616D06}</author>
    <author>tc={79E48990-3272-4C44-98E5-53702B6573A8}</author>
    <author>tc={552671D8-1E52-4990-ACFF-6A91E76D58D5}</author>
    <author>tc={417DD987-F01E-46D0-9570-9009609439F4}</author>
    <author>tc={FE5EAE22-897B-4B8E-B2C1-0357051F20CC}</author>
    <author>tc={A50073F4-BB7D-41C0-86E2-22852C4D223B}</author>
    <author>tc={AF1FAC28-3CB3-4570-AC8F-F68A0A2156F6}</author>
    <author>tc={67AEB212-4639-471B-BF24-277F71A00D92}</author>
    <author>tc={70EF3535-A803-468C-8362-31639FD4D685}</author>
    <author>tc={08E549EB-664E-4031-82C8-B79AD3132BF2}</author>
    <author>tc={20F40533-3278-495B-9018-0EE0567C95D6}</author>
    <author>tc={3871A033-4747-412B-BF2D-9EB553BB038F}</author>
  </authors>
  <commentList>
    <comment ref="K9" authorId="0" shapeId="0" xr:uid="{3FCDE3DD-127C-43D5-8A80-FE8F3207C1F8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http://dx.doi.org/10.1016/j.egypro.2009.01.045</t>
      </text>
    </comment>
    <comment ref="K11" authorId="1" shapeId="0" xr:uid="{EB4DF04A-4190-4E6C-9691-106F976FCE57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to calculte the amount (kg) of solvent mixture leaving abso step
Réponse :
    cfi is correlated to cfi in MDC steps</t>
      </text>
    </comment>
    <comment ref="D22" authorId="2" shapeId="0" xr:uid="{C00A498F-26E0-42A6-B18C-5548E9645813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[1] R. Sander, “Compilation of Henry’s law constants (version 4.0) for water as solvent,” Atmos. Chem. Phys., vol. 15, no. 8, pp. 4399–4981, 2015, doi: 10.5194/acp-15-4399-2015.</t>
      </text>
    </comment>
    <comment ref="A25" authorId="3" shapeId="0" xr:uid="{928AD57E-AC7A-4693-9307-0826917DC5AE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log mean : Albo, J., Luis, P., &amp; Irabien, A. (2011). Absorption of coal combustion flue gases in ionic liquids using different membrane contactors. Desalination and Water Treatment, 27(1-3), 54–59. doi:10.5004/dwt.2011.2050</t>
      </text>
    </comment>
    <comment ref="G31" authorId="4" shapeId="0" xr:uid="{7593C00C-4B0B-4A04-AB8D-CAF0A7619C00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https://en.wikipedia.org/wiki/Sodium_carbonate</t>
      </text>
    </comment>
    <comment ref="G32" authorId="5" shapeId="0" xr:uid="{F0DDB304-EEEF-47E3-BA5F-A5D502BEF697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https://www.sigmaaldrich.com/BE/en/product/mm/101543</t>
      </text>
    </comment>
    <comment ref="G33" authorId="6" shapeId="0" xr:uid="{F3C16050-3982-4734-B12D-BDCC732D849C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https://en.wikipedia.org/wiki/Sarcosine</t>
      </text>
    </comment>
    <comment ref="G35" authorId="7" shapeId="0" xr:uid="{FA35FCD0-A146-45BE-8886-5789F3616D06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density of a mixture by average the densities of the components
http://pillars.che.pitt.edu/student/slide.cgi?course_id=12&amp;slide_id=63.0</t>
      </text>
    </comment>
    <comment ref="D38" authorId="8" shapeId="0" xr:uid="{79E48990-3272-4C44-98E5-53702B6573A8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CO 2 capture and crystallization as sodium carbonate using membrane contactors (p34)
Ruiz Salmón, Israel
2018</t>
      </text>
    </comment>
    <comment ref="A41" authorId="9" shapeId="0" xr:uid="{552671D8-1E52-4990-ACFF-6A91E76D58D5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Vida mail 28/04 : 4- 5 experiment around 4 to 7 g of the CaCl is changed.
Réponse :
    total hr : 5,5*8=36
mean mass changed in 36hr : 5,5g
for 0,18m² Am</t>
      </text>
    </comment>
    <comment ref="A44" authorId="10" shapeId="0" xr:uid="{417DD987-F01E-46D0-9570-9009609439F4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Brooks instrument 
GF40/GF80</t>
      </text>
    </comment>
    <comment ref="A45" authorId="11" shapeId="0" xr:uid="{FE5EAE22-897B-4B8E-B2C1-0357051F20CC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Peristaltic Pumps - 
Model: BT00300T, Basic Peristaltic Pump, 0.005 to 1140mL/min
Réponse :
    https://www.chromalytic.com.au/pdf2/MC09_Laboratory09_37-39.pdf
Réponse :
    22W up to 1140 mL/min = 68 L/h</t>
      </text>
    </comment>
    <comment ref="A46" authorId="12" shapeId="0" xr:uid="{A50073F4-BB7D-41C0-86E2-22852C4D223B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2nd Edition
Ultrafiltration and Microfiltration Handbook
By Munir Cheryan</t>
      </text>
    </comment>
    <comment ref="A47" authorId="13" shapeId="0" xr:uid="{AF1FAC28-3CB3-4570-AC8F-F68A0A2156F6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Emerson : 
X-STREAM Enhanced
XEGK - Compact Gas Analyzer</t>
      </text>
    </comment>
    <comment ref="A48" authorId="14" shapeId="0" xr:uid="{67AEB212-4639-471B-BF24-277F71A00D92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Brooks instrument 
0250 Series</t>
      </text>
    </comment>
    <comment ref="A50" authorId="15" shapeId="0" xr:uid="{70EF3535-A803-468C-8362-31639FD4D685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https://glasatelier-saillart.be/fr/glazen-reactoren-en-reactievaten-met-flensdeksels/elektrische-bovenroerders/</t>
      </text>
    </comment>
    <comment ref="A51" authorId="16" shapeId="0" xr:uid="{08E549EB-664E-4031-82C8-B79AD3132BF2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http://www.frankberg.nl/drum-agitators-mixers.html 
https://www.machinery-ly.com/sanitary-stirring-tank-for-liquid-mixing-and-stirring-no-electric-heating</t>
      </text>
    </comment>
    <comment ref="A60" authorId="17" shapeId="0" xr:uid="{20F40533-3278-495B-9018-0EE0567C95D6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https://pubchem.ncbi.nlm.nih.gov/compound/Sodium-carbonate-heptahydrate</t>
      </text>
    </comment>
    <comment ref="A64" authorId="18" shapeId="0" xr:uid="{3871A033-4747-412B-BF2D-9EB553BB038F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https://pubchem.ncbi.nlm.nih.gov/compound/Sodium-carbonate-heptahydrate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tc={05EE5834-E002-41B1-A408-16623E8E75F4}</author>
    <author>tc={DF644E1F-0E68-4154-A826-CC1396E2BA2F}</author>
    <author>tc={4BFC8372-0E1A-4828-83DB-00B3B054BD1E}</author>
  </authors>
  <commentList>
    <comment ref="J4" authorId="0" shapeId="0" xr:uid="{05EE5834-E002-41B1-A408-16623E8E75F4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mail Vida 26/03$</t>
      </text>
    </comment>
    <comment ref="A37" authorId="1" shapeId="0" xr:uid="{DF644E1F-0E68-4154-A826-CC1396E2BA2F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Vapour pressure Antoine equation 
10.1016/j.ijheatmasstransfer.2002.09.001</t>
      </text>
    </comment>
    <comment ref="A60" authorId="2" shapeId="0" xr:uid="{4BFC8372-0E1A-4828-83DB-00B3B054BD1E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10.1111/j.1530-9290.2010.00293.x
https://www.lenntech.fr/processes/brine-treatment.htm#ro
Réponse :
    Brine disposal from petroleum extraction - produced water 
https://www.ag.ndsu.edu/publications/environment-natural-resources/environmental-impacts-of-brine-produced-water
salinity ok : https://water.usgs.gov/orh/nrwww/Otten.pdf
compo : http://aqwatec.mines.edu/produced_water/intro/pw/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tc={12F0512C-9632-42C1-9F2E-763738BE4990}</author>
    <author>tc={64DDB028-B81B-43DF-B5E8-0751B5E8D47C}</author>
    <author>tc={5A2BB316-1AD5-4CA1-93A8-8A0C94AA33A1}</author>
    <author>tc={0D61B4F4-4179-4A36-8DE3-DBAF50F04AFE}</author>
    <author>tc={68B68734-FCF5-4060-9680-38479E5A9CC9}</author>
    <author>tc={217435A8-A6B6-4101-AEA9-1B3DEB078004}</author>
  </authors>
  <commentList>
    <comment ref="C9" authorId="0" shapeId="0" xr:uid="{12F0512C-9632-42C1-9F2E-763738BE4990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consider Kov of 05M ARG with 1M or 1,1M similar (not vary a lot)</t>
      </text>
    </comment>
    <comment ref="C10" authorId="1" shapeId="0" xr:uid="{64DDB028-B81B-43DF-B5E8-0751B5E8D47C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Kov for OMD with 1M naHCO3 and no AA</t>
      </text>
    </comment>
    <comment ref="D10" authorId="2" shapeId="0" xr:uid="{5A2BB316-1AD5-4CA1-93A8-8A0C94AA33A1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Kov for 0,6M of NaHCo3 with no AA</t>
      </text>
    </comment>
    <comment ref="F10" authorId="3" shapeId="0" xr:uid="{0D61B4F4-4179-4A36-8DE3-DBAF50F04AFE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Kov for 1M NaHCO3 without AA</t>
      </text>
    </comment>
    <comment ref="G10" authorId="4" shapeId="0" xr:uid="{68B68734-FCF5-4060-9680-38479E5A9CC9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Kov for 1M NaHCO3 without AA</t>
      </text>
    </comment>
    <comment ref="E25" authorId="5" shapeId="0" xr:uid="{217435A8-A6B6-4101-AEA9-1B3DEB078004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Kov from vida for 0,8 M but without ARG * percentage to go from no AA  but with NaHCO3 to with AA</t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tc={5A5ACAC3-CD79-4FE6-A9E7-1AD2A44EB5A3}</author>
    <author>tc={0FEEA1D7-7873-4B49-A607-4409A4FD0622}</author>
    <author>tc={2B7F38B1-D369-4D6B-A689-018F18507D5A}</author>
    <author>tc={F0BE9C8C-7A1B-494F-AE96-7A6D4629BB2C}</author>
    <author>tc={DA45315F-1A06-4036-A28C-70C3D8138D03}</author>
  </authors>
  <commentList>
    <comment ref="A5" authorId="0" shapeId="0" xr:uid="{5A5ACAC3-CD79-4FE6-A9E7-1AD2A44EB5A3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DeltaH_vap * Z = Qpin * cp * (Tpout - Tpin)</t>
      </text>
    </comment>
    <comment ref="A19" authorId="1" shapeId="0" xr:uid="{0FEEA1D7-7873-4B49-A607-4409A4FD0622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Mail MC 19/03
Tfout ~ 19°C, Tpout ~ 27 °C avec Qf 400 mL/min DCMD</t>
      </text>
    </comment>
    <comment ref="P27" authorId="2" shapeId="0" xr:uid="{2B7F38B1-D369-4D6B-A689-018F18507D5A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from MC paper</t>
      </text>
    </comment>
    <comment ref="P42" authorId="3" shapeId="0" xr:uid="{F0BE9C8C-7A1B-494F-AE96-7A6D4629BB2C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from MC paper</t>
      </text>
    </comment>
    <comment ref="A45" authorId="4" shapeId="0" xr:uid="{DA45315F-1A06-4036-A28C-70C3D8138D03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see ABSO</t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tc={AA24AE1F-9C7C-4CB4-9077-7B3BDA17C39F}</author>
    <author>tc={2D989ACE-0D3D-4817-8FA5-0A48EC1FE0EB}</author>
    <author>tc={0794C89B-4635-48CE-B707-E53B84137234}</author>
  </authors>
  <commentList>
    <comment ref="C8" authorId="0" shapeId="0" xr:uid="{AA24AE1F-9C7C-4CB4-9077-7B3BDA17C39F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Kov for DCMD with only 84g/kg NaHCO3 and no AA.</t>
      </text>
    </comment>
    <comment ref="D8" authorId="1" shapeId="0" xr:uid="{2D989ACE-0D3D-4817-8FA5-0A48EC1FE0EB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DCMD : MC document with no AA and +- 50 gNaHCO3/kgH2O.</t>
      </text>
    </comment>
    <comment ref="N8" authorId="2" shapeId="0" xr:uid="{0794C89B-4635-48CE-B707-E53B84137234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MC experiences: Kov for DCMD with no AA and 1,25M of NaHCO3</t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tc={7286EA03-F81C-414C-987E-3C2B96B991A5}</author>
    <author>tc={6B0AD519-0EB0-49D1-973D-8A9850C85807}</author>
    <author>tc={58E9797B-2C4A-44EB-94A1-E76C2A165A34}</author>
  </authors>
  <commentList>
    <comment ref="A46" authorId="0" shapeId="0" xr:uid="{7286EA03-F81C-414C-987E-3C2B96B991A5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see ABSO</t>
      </text>
    </comment>
    <comment ref="A50" authorId="1" shapeId="0" xr:uid="{6B0AD519-0EB0-49D1-973D-8A9850C85807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VacuumBrand
models : ME 4R NT
https://www.vacuubrand.com/fr/page804.html
Réponse :
    Meilleure vacuum pompe pour le flowrate : https://www.vacuubrand.com/fr/page994.html#comparison</t>
      </text>
    </comment>
    <comment ref="A54" authorId="2" shapeId="0" xr:uid="{58E9797B-2C4A-44EB-94A1-E76C2A165A34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qv = Pp*V
qv =J/s
Pp=Pa vacuum pressure
V=m³/s
10.1016/j.cep.2013.10.002</t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tc={1269C6A6-6790-497D-A172-69196A64FCD4}</author>
    <author>tc={D7355772-8F93-4B0B-B9CD-5D99EDCAEA0D}</author>
  </authors>
  <commentList>
    <comment ref="C8" authorId="0" shapeId="0" xr:uid="{1269C6A6-6790-497D-A172-69196A64FCD4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VMD mc with no AA and 50 g NaHCO3/kgH2O</t>
      </text>
    </comment>
    <comment ref="D24" authorId="1" shapeId="0" xr:uid="{D7355772-8F93-4B0B-B9CD-5D99EDCAEA0D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MC experiences : Kov of VMD for different NaHCO3 concentration is almost constant.</t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tc={F29E17AD-3521-48E4-93D7-D76ADC7D8250}</author>
    <author>tc={0CABD1FD-DADF-4A85-BB1A-71109DD940B6}</author>
    <author>tc={CFA02AC4-E740-491D-A76D-8429F9AB515C}</author>
    <author>tc={4CE7C409-C536-42C9-A17E-1AC3B0DD4BC9}</author>
  </authors>
  <commentList>
    <comment ref="A6" authorId="0" shapeId="0" xr:uid="{F29E17AD-3521-48E4-93D7-D76ADC7D8250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https://glasatelier-saillart.be/fr/glazen-reactoren-en-reactievaten-met-flensdeksels/elektrische-bovenroerders/</t>
      </text>
    </comment>
    <comment ref="A7" authorId="1" shapeId="0" xr:uid="{0CABD1FD-DADF-4A85-BB1A-71109DD940B6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see ABSO</t>
      </text>
    </comment>
    <comment ref="A8" authorId="2" shapeId="0" xr:uid="{CFA02AC4-E740-491D-A76D-8429F9AB515C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ScrollDecanter_Laboratory decanter - Lemitec Decanter centrifuge MD 60_files
http://www.lemitec.com/en/products/md60.php
Réponse :
    @book{tarleton2006solid,
  title={Solid/liquid separation: equipment selection and process design},
  author={Tarleton, Steve and Wakeman, Richard},
  year={2006},
  publisher={Elsevier}
}</t>
      </text>
    </comment>
    <comment ref="A9" authorId="3" shapeId="0" xr:uid="{4CE7C409-C536-42C9-A17E-1AC3B0DD4BC9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BHS filter : BHS Rotary Pressure Filter 
https://www.bhs-filtration.com/products/rotary-pressure-filter/</t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<sst xmlns="http://schemas.openxmlformats.org/spreadsheetml/2006/main" count="700" uniqueCount="411">
  <si>
    <t>Membrane life time</t>
  </si>
  <si>
    <t>yr (param)</t>
  </si>
  <si>
    <t>plant working (hr/d)</t>
  </si>
  <si>
    <t>plant working (d/yr)</t>
  </si>
  <si>
    <t xml:space="preserve">total working (hr)
all memb life-time </t>
  </si>
  <si>
    <t xml:space="preserve">Power efficiency </t>
  </si>
  <si>
    <t>Power correction factor</t>
  </si>
  <si>
    <t>Membrane characteristics</t>
  </si>
  <si>
    <t>R_o (microm)</t>
  </si>
  <si>
    <t>R_i (microm)</t>
  </si>
  <si>
    <t xml:space="preserve">Membrane production </t>
  </si>
  <si>
    <t>Recovery</t>
  </si>
  <si>
    <t xml:space="preserve">Pump efficiency </t>
  </si>
  <si>
    <t xml:space="preserve">T </t>
  </si>
  <si>
    <t>[NaHCO3]sat (g/kgeau)</t>
  </si>
  <si>
    <t>[NaHCO3]saturation mol/kg</t>
  </si>
  <si>
    <t>[NaHCO3]super (g/kgeau)2</t>
  </si>
  <si>
    <t>[NaHCO3]supersatmol/kg</t>
  </si>
  <si>
    <t>Chemistry - Perry's Chemical Engineers' Handbook, 8th Edition - (Don W. Green, Ronald H. Perry) McGraw Hill 2008.pdf</t>
  </si>
  <si>
    <t>OMD</t>
  </si>
  <si>
    <t>VMD</t>
  </si>
  <si>
    <t>DCMD</t>
  </si>
  <si>
    <t>concentration saturation</t>
  </si>
  <si>
    <t>concentration supersat (%)</t>
  </si>
  <si>
    <t xml:space="preserve">y = 0,006x²+1,2195x+68,946 </t>
  </si>
  <si>
    <t>Absorption</t>
  </si>
  <si>
    <t>Vm</t>
  </si>
  <si>
    <t xml:space="preserve">Parameters to play with </t>
  </si>
  <si>
    <t>m³/mol</t>
  </si>
  <si>
    <t>CO2 in lab (mL/min)</t>
  </si>
  <si>
    <t>Absorption ratio (%)</t>
  </si>
  <si>
    <t>ARG</t>
  </si>
  <si>
    <r>
      <t xml:space="preserve">Gas in/out </t>
    </r>
    <r>
      <rPr>
        <b/>
        <sz val="14"/>
        <color rgb="FFFF0000"/>
        <rFont val="Calibri"/>
        <family val="2"/>
        <scheme val="minor"/>
      </rPr>
      <t>LAB</t>
    </r>
  </si>
  <si>
    <t>mL/min</t>
  </si>
  <si>
    <t>g/mol</t>
  </si>
  <si>
    <t>m³/min</t>
  </si>
  <si>
    <t>mol/min</t>
  </si>
  <si>
    <t>conc  mol/m³</t>
  </si>
  <si>
    <t>ppmv</t>
  </si>
  <si>
    <t>SAR</t>
  </si>
  <si>
    <t>CO2in</t>
  </si>
  <si>
    <t>Kov (m³/m²min)</t>
  </si>
  <si>
    <t>Air</t>
  </si>
  <si>
    <t>Abso. capacity (mol/L)</t>
  </si>
  <si>
    <t>CO2out</t>
  </si>
  <si>
    <t>time (min)</t>
  </si>
  <si>
    <t>CO2 in%vol</t>
  </si>
  <si>
    <t>AA_loss regeneration (%)</t>
  </si>
  <si>
    <t>NaHCO3</t>
  </si>
  <si>
    <r>
      <t xml:space="preserve">Gas in/out </t>
    </r>
    <r>
      <rPr>
        <b/>
        <sz val="14"/>
        <color rgb="FFFF0000"/>
        <rFont val="Calibri"/>
        <family val="2"/>
        <scheme val="minor"/>
      </rPr>
      <t>LCA</t>
    </r>
  </si>
  <si>
    <t>kg/h absorbed</t>
  </si>
  <si>
    <t>X mol/h absorbed</t>
  </si>
  <si>
    <t>m³/h absorbed</t>
  </si>
  <si>
    <t>% absorbed</t>
  </si>
  <si>
    <t xml:space="preserve">Cfi </t>
  </si>
  <si>
    <t>FU, CO2 absorbed/h</t>
  </si>
  <si>
    <t>m³/h</t>
  </si>
  <si>
    <t>mol/h</t>
  </si>
  <si>
    <t>g/h</t>
  </si>
  <si>
    <t>conc mol/m³</t>
  </si>
  <si>
    <t>mol fraction %</t>
  </si>
  <si>
    <t xml:space="preserve">CO2 in </t>
  </si>
  <si>
    <t>Data to enter in SIMAPRO</t>
  </si>
  <si>
    <t>No loss</t>
  </si>
  <si>
    <t>with recycling</t>
  </si>
  <si>
    <t xml:space="preserve">CO2 out </t>
  </si>
  <si>
    <t>SOLVENT Mixture IN</t>
  </si>
  <si>
    <t>OUT</t>
  </si>
  <si>
    <t>Product</t>
  </si>
  <si>
    <t>kg/h</t>
  </si>
  <si>
    <t xml:space="preserve">GAS Mixture </t>
  </si>
  <si>
    <t>Air in</t>
  </si>
  <si>
    <t>Solvent Mixture (kg/h)</t>
  </si>
  <si>
    <t>Gas Mixture (g/h)</t>
  </si>
  <si>
    <t>Air out</t>
  </si>
  <si>
    <t>IN</t>
  </si>
  <si>
    <t>From Materials/Fuels</t>
  </si>
  <si>
    <t>From Nature</t>
  </si>
  <si>
    <t>Vgi (m³/h)</t>
  </si>
  <si>
    <t>H2O (kg)</t>
  </si>
  <si>
    <t>CO2 (g)</t>
  </si>
  <si>
    <t>Vgo (m³/h)</t>
  </si>
  <si>
    <t xml:space="preserve">Na2CO3 • 7H2O (kg) </t>
  </si>
  <si>
    <t>Air (g)</t>
  </si>
  <si>
    <t>Fresh solvent (arithm)</t>
  </si>
  <si>
    <t>Saturation (LN)</t>
  </si>
  <si>
    <t xml:space="preserve">Henry constant </t>
  </si>
  <si>
    <t>ARG (g)</t>
  </si>
  <si>
    <t>SAR (g)</t>
  </si>
  <si>
    <t>Kov (for CO2 in and CO2out) (m³/m²s)</t>
  </si>
  <si>
    <t>Driving force (mol/m³)</t>
  </si>
  <si>
    <t>STEP ABSO</t>
  </si>
  <si>
    <t>Flux (mol/m²s)</t>
  </si>
  <si>
    <t>ABSO (kg)</t>
  </si>
  <si>
    <t>Membrane area (m²) LCA</t>
  </si>
  <si>
    <t xml:space="preserve">Solvent in </t>
  </si>
  <si>
    <t>mol/kgH2O</t>
  </si>
  <si>
    <t>Mm g/mol</t>
  </si>
  <si>
    <t>kg/kg_h2O</t>
  </si>
  <si>
    <t>x mass fraction ARG</t>
  </si>
  <si>
    <t>x mass fraction SAR</t>
  </si>
  <si>
    <t>density kg/L</t>
  </si>
  <si>
    <t>Solvent mixture (kg)</t>
  </si>
  <si>
    <t>H2O</t>
  </si>
  <si>
    <t>Gas mixture (kg)</t>
  </si>
  <si>
    <t>Na2CO3</t>
  </si>
  <si>
    <t>CaCl2 (g)</t>
  </si>
  <si>
    <t>Membrane PP (m²)</t>
  </si>
  <si>
    <t>cm2</t>
  </si>
  <si>
    <t xml:space="preserve"> = w/membr. Life time</t>
  </si>
  <si>
    <t>Energy (kJ)</t>
  </si>
  <si>
    <t xml:space="preserve">Total </t>
  </si>
  <si>
    <t>Materials</t>
  </si>
  <si>
    <t>m²</t>
  </si>
  <si>
    <t>density g/m³</t>
  </si>
  <si>
    <t>thickness membrane m</t>
  </si>
  <si>
    <t>m³</t>
  </si>
  <si>
    <t>g</t>
  </si>
  <si>
    <t>SOLVENT Mixture OUT</t>
  </si>
  <si>
    <t>mass fraction</t>
  </si>
  <si>
    <t>Polypropylene membrane</t>
  </si>
  <si>
    <t>g/m²h</t>
  </si>
  <si>
    <t>CaCl2 granulars IN</t>
  </si>
  <si>
    <t>Equipement (NRJ)</t>
  </si>
  <si>
    <t>Watt</t>
  </si>
  <si>
    <t>kJ</t>
  </si>
  <si>
    <t>MFC (x2)</t>
  </si>
  <si>
    <t xml:space="preserve">NaHCO3 </t>
  </si>
  <si>
    <t>Gear pump (solvent -&gt; membrane)</t>
  </si>
  <si>
    <t>Pump calcul</t>
  </si>
  <si>
    <t>Gas analyser concentration</t>
  </si>
  <si>
    <t>24 vdc</t>
  </si>
  <si>
    <t>2,5 A</t>
  </si>
  <si>
    <t>Gas analyser flow rates</t>
  </si>
  <si>
    <t>12-24 vdc</t>
  </si>
  <si>
    <t>400 mA max</t>
  </si>
  <si>
    <t>Gas analyser TOTAL</t>
  </si>
  <si>
    <t>Stirring small</t>
  </si>
  <si>
    <t>Stirring 100-5000L</t>
  </si>
  <si>
    <t>Stirring average 50-100 L</t>
  </si>
  <si>
    <t>Total</t>
  </si>
  <si>
    <t>%</t>
  </si>
  <si>
    <t>Na2CO3 7H2O</t>
  </si>
  <si>
    <t>7H2O</t>
  </si>
  <si>
    <t>M</t>
  </si>
  <si>
    <t>g/kgH2O</t>
  </si>
  <si>
    <t>simaPro model</t>
  </si>
  <si>
    <t>k 0.3</t>
  </si>
  <si>
    <t>k 0.4</t>
  </si>
  <si>
    <t>k 0.5</t>
  </si>
  <si>
    <t>k max</t>
  </si>
  <si>
    <t>CO2 in (lab) mL/min</t>
  </si>
  <si>
    <t>Absorption ratio</t>
  </si>
  <si>
    <t>100-00.1%</t>
  </si>
  <si>
    <t>CO2 out (lab) ppmv</t>
  </si>
  <si>
    <t>CO2 in (LCA) g</t>
  </si>
  <si>
    <t>n CO2 in (mol/h)</t>
  </si>
  <si>
    <t>n CO2 out</t>
  </si>
  <si>
    <t xml:space="preserve">n air </t>
  </si>
  <si>
    <t>Vgo</t>
  </si>
  <si>
    <t>Cgi (mol/m³)</t>
  </si>
  <si>
    <t>Cgo</t>
  </si>
  <si>
    <t>absoA.s0</t>
  </si>
  <si>
    <t>AA.k03</t>
  </si>
  <si>
    <t>AA.k04</t>
  </si>
  <si>
    <t>AA.k05</t>
  </si>
  <si>
    <t>absoA.kMax</t>
  </si>
  <si>
    <t>gives Am</t>
  </si>
  <si>
    <t>driving F</t>
  </si>
  <si>
    <t>log mean Kov</t>
  </si>
  <si>
    <t>J transmembr flux</t>
  </si>
  <si>
    <t>A_m  (m2)</t>
  </si>
  <si>
    <t>A_m with lifetime (cm²)</t>
  </si>
  <si>
    <t>CO2 solvent load (mol/kg)</t>
  </si>
  <si>
    <t>Q_si Solvent in (kg)</t>
  </si>
  <si>
    <t>H2O in (kg)</t>
  </si>
  <si>
    <t>NRJ (kJ)</t>
  </si>
  <si>
    <t>CaCl2</t>
  </si>
  <si>
    <t>absoS.s0</t>
  </si>
  <si>
    <t>absoS.kmax</t>
  </si>
  <si>
    <t xml:space="preserve">log mean Kov </t>
  </si>
  <si>
    <t>CO2 solvent load (mol/L)</t>
  </si>
  <si>
    <t>Osmotic membrane crystallisation</t>
  </si>
  <si>
    <t>Molar mass NaHCO3</t>
  </si>
  <si>
    <t>NaHCO3 in FEED (g/kgeau)</t>
  </si>
  <si>
    <t>NaHCO3 conc. can vary between 0.8 to 1.4 mol/l. = 67 to 117 g/L</t>
  </si>
  <si>
    <t>Permeate IN</t>
  </si>
  <si>
    <t xml:space="preserve">kg/h </t>
  </si>
  <si>
    <t>mol/L (M)</t>
  </si>
  <si>
    <t>aw_p,in</t>
  </si>
  <si>
    <t>NaHCO3 out FEED  (g/kgeau)</t>
  </si>
  <si>
    <t>H2O in</t>
  </si>
  <si>
    <t>Kov (m³/m²sPa)</t>
  </si>
  <si>
    <t>NaCl (300g/kgH2O)</t>
  </si>
  <si>
    <t>H2O in feed (kg_h2o/h)</t>
  </si>
  <si>
    <t xml:space="preserve">Permeate in </t>
  </si>
  <si>
    <t>Feed in (kg/h)</t>
  </si>
  <si>
    <t xml:space="preserve">Temperature </t>
  </si>
  <si>
    <t>Feed IN</t>
  </si>
  <si>
    <t>mol/L</t>
  </si>
  <si>
    <t>aw_f,in</t>
  </si>
  <si>
    <t>AA -ARG</t>
  </si>
  <si>
    <t>AA - SAR</t>
  </si>
  <si>
    <t>Permeate</t>
  </si>
  <si>
    <t>Permeate (kg/h)</t>
  </si>
  <si>
    <t>Feed OUT</t>
  </si>
  <si>
    <t>From Materials</t>
  </si>
  <si>
    <t>NaHCO3 in</t>
  </si>
  <si>
    <t>NaHCO3 out</t>
  </si>
  <si>
    <t>NaCl (kg)</t>
  </si>
  <si>
    <t xml:space="preserve">Temperature (°C) </t>
  </si>
  <si>
    <t>N H2O evap  (kg/h)</t>
  </si>
  <si>
    <t>aw_f,out</t>
  </si>
  <si>
    <t>OMD (kg/h) Feed out</t>
  </si>
  <si>
    <t>H2O out</t>
  </si>
  <si>
    <t>Waste treatment</t>
  </si>
  <si>
    <t>WWT (kg/h) Permeate out</t>
  </si>
  <si>
    <t>(cm²)</t>
  </si>
  <si>
    <t>Feed out</t>
  </si>
  <si>
    <t>ABSO (L/h)</t>
  </si>
  <si>
    <t>w/membr. Life time</t>
  </si>
  <si>
    <t>Permeate out</t>
  </si>
  <si>
    <t>aw_p,out</t>
  </si>
  <si>
    <t>salinity  (g/kg)</t>
  </si>
  <si>
    <t>Calculated Energy (kJ)</t>
  </si>
  <si>
    <t>NaCl out</t>
  </si>
  <si>
    <t>Permeate OUT</t>
  </si>
  <si>
    <t>Kov (m³/Pa m² s)</t>
  </si>
  <si>
    <t>mean awp arg</t>
  </si>
  <si>
    <t>Temperature (K)</t>
  </si>
  <si>
    <t>mean awp sar</t>
  </si>
  <si>
    <t>Pvap (Pa)</t>
  </si>
  <si>
    <t>Driving force (Pa)</t>
  </si>
  <si>
    <t>DP in</t>
  </si>
  <si>
    <t>Flux (m³/m² s)</t>
  </si>
  <si>
    <t>DP out</t>
  </si>
  <si>
    <t>Membrane area (m²)</t>
  </si>
  <si>
    <t>mean DP</t>
  </si>
  <si>
    <t>Flux</t>
  </si>
  <si>
    <t>2 Gear pumps (feed in membrane + permeate in membrane )</t>
  </si>
  <si>
    <t>1 gear pump (permeat out membrane)</t>
  </si>
  <si>
    <t>Calculated pumps</t>
  </si>
  <si>
    <t>Brine disposal</t>
  </si>
  <si>
    <t>[NaHCO3] in (mol/kgH2O)</t>
  </si>
  <si>
    <t>gives Z</t>
  </si>
  <si>
    <t>[NaHCO3] out</t>
  </si>
  <si>
    <t>NaHCO3 in (M)</t>
  </si>
  <si>
    <t>AA</t>
  </si>
  <si>
    <t>% saturation level</t>
  </si>
  <si>
    <t>Membr lifetime</t>
  </si>
  <si>
    <t>Kov no AA</t>
  </si>
  <si>
    <t>omd.s0</t>
  </si>
  <si>
    <t>omd.s0.110</t>
  </si>
  <si>
    <t>omd.s0.130</t>
  </si>
  <si>
    <t>omd.s0.150</t>
  </si>
  <si>
    <t>omd.s1.110</t>
  </si>
  <si>
    <t>omd.s1.130</t>
  </si>
  <si>
    <t>omd.s1.150</t>
  </si>
  <si>
    <t>Solvent in = perm in</t>
  </si>
  <si>
    <t>82 AbsoA.s0</t>
  </si>
  <si>
    <t>Permeate in</t>
  </si>
  <si>
    <t>C arg in</t>
  </si>
  <si>
    <t>C arg out</t>
  </si>
  <si>
    <t>Cpi</t>
  </si>
  <si>
    <t>Cpo</t>
  </si>
  <si>
    <t>aw fi</t>
  </si>
  <si>
    <t>aw fo</t>
  </si>
  <si>
    <t>aw pi</t>
  </si>
  <si>
    <t>aw po</t>
  </si>
  <si>
    <t>NH2O (kg/h)</t>
  </si>
  <si>
    <t>Kov</t>
  </si>
  <si>
    <t>Driving F</t>
  </si>
  <si>
    <t xml:space="preserve">J trans flux </t>
  </si>
  <si>
    <t>Am (m²)</t>
  </si>
  <si>
    <t>Nrj</t>
  </si>
  <si>
    <t>Qfo Feed out (kg)</t>
  </si>
  <si>
    <t>Qpo Permeate OUT (kg)</t>
  </si>
  <si>
    <t>omd.s0 - absoS.s0</t>
  </si>
  <si>
    <t>C sar in</t>
  </si>
  <si>
    <t>C sar out</t>
  </si>
  <si>
    <t xml:space="preserve">Feed out </t>
  </si>
  <si>
    <t>Direct contact membrane DC</t>
  </si>
  <si>
    <t>NaHCO3 in (g/kgeau)</t>
  </si>
  <si>
    <t>Tpi</t>
  </si>
  <si>
    <t>NaHCO3 out (g/kgeau)</t>
  </si>
  <si>
    <t>Feed in (kg/H)</t>
  </si>
  <si>
    <t>AA - ARG</t>
  </si>
  <si>
    <t>AA -  SAR</t>
  </si>
  <si>
    <t>Tfi</t>
  </si>
  <si>
    <t>Feed in</t>
  </si>
  <si>
    <t>Tfo</t>
  </si>
  <si>
    <t>Tpo</t>
  </si>
  <si>
    <t>DCMD influence Tpi Qfi500</t>
  </si>
  <si>
    <t xml:space="preserve">Tfi </t>
  </si>
  <si>
    <t>DCMD (L/h) Feed out</t>
  </si>
  <si>
    <r>
      <t xml:space="preserve">H2O evap </t>
    </r>
    <r>
      <rPr>
        <b/>
        <sz val="11"/>
        <color theme="1"/>
        <rFont val="Calibri"/>
        <family val="2"/>
        <scheme val="minor"/>
      </rPr>
      <t>Z</t>
    </r>
    <r>
      <rPr>
        <sz val="11"/>
        <color theme="1"/>
        <rFont val="Calibri"/>
        <family val="2"/>
        <scheme val="minor"/>
      </rPr>
      <t xml:space="preserve"> (kg/h)</t>
    </r>
  </si>
  <si>
    <t>Avoided product</t>
  </si>
  <si>
    <t>H2O (kg) Permeate out</t>
  </si>
  <si>
    <t>DCMD influence Tfi Qfi400</t>
  </si>
  <si>
    <t>ABSO (kg/h)</t>
  </si>
  <si>
    <t xml:space="preserve">Permeat in H2O (kg/h) </t>
  </si>
  <si>
    <t>mean awf ARG</t>
  </si>
  <si>
    <t>Membrane mm (m²)</t>
  </si>
  <si>
    <t>mean awf SAR</t>
  </si>
  <si>
    <t xml:space="preserve"> </t>
  </si>
  <si>
    <t>NRJ total (MJ) calculated</t>
  </si>
  <si>
    <t>NRJ total (MJ) no calcul</t>
  </si>
  <si>
    <t>Kov with AA</t>
  </si>
  <si>
    <t xml:space="preserve">H2O </t>
  </si>
  <si>
    <t xml:space="preserve">Pfi </t>
  </si>
  <si>
    <t>Pfo</t>
  </si>
  <si>
    <t>Ppi</t>
  </si>
  <si>
    <t>Ppo</t>
  </si>
  <si>
    <t>DCMD influence Tpi Qfi400</t>
  </si>
  <si>
    <t>kov with AA</t>
  </si>
  <si>
    <t>kJ (max PCF)</t>
  </si>
  <si>
    <t>Efi Gear pumps (feed in)</t>
  </si>
  <si>
    <t>E Heater fi (feed in)</t>
  </si>
  <si>
    <t>E Cooler H2O pi (permeate in)</t>
  </si>
  <si>
    <t>Epo Calcul pump (permeate out)</t>
  </si>
  <si>
    <t>Epi Calcul Pump (permeate in)</t>
  </si>
  <si>
    <t>calcul</t>
  </si>
  <si>
    <t>no calcul</t>
  </si>
  <si>
    <t>[NaHCO3] in</t>
  </si>
  <si>
    <t>Kov literature</t>
  </si>
  <si>
    <t>dcmd.s0</t>
  </si>
  <si>
    <t>dcmd.s0.tfi35</t>
  </si>
  <si>
    <t>dcmd.s0.tfi30</t>
  </si>
  <si>
    <t>dcmd.s0.tfi25</t>
  </si>
  <si>
    <t>dcmd.s0.110</t>
  </si>
  <si>
    <t>dcmd.s0.130</t>
  </si>
  <si>
    <t>dcmd.s0.150</t>
  </si>
  <si>
    <t>dcmd.s1.130</t>
  </si>
  <si>
    <t>dcmd.s1.150</t>
  </si>
  <si>
    <t>dcmd.so.tpi10</t>
  </si>
  <si>
    <t>dcmd.s0.tpi15</t>
  </si>
  <si>
    <t>dcmd.s0.tpi20</t>
  </si>
  <si>
    <t>dcmd.s1.tfi25.150</t>
  </si>
  <si>
    <t>Feed  in (L)</t>
  </si>
  <si>
    <t>82 (AA.max)</t>
  </si>
  <si>
    <t>P fi</t>
  </si>
  <si>
    <t>P fo</t>
  </si>
  <si>
    <t>P pi</t>
  </si>
  <si>
    <t>P po</t>
  </si>
  <si>
    <t>N H2O (kg/h)</t>
  </si>
  <si>
    <t>J transm flux</t>
  </si>
  <si>
    <t>Am with lifetime (cm²)</t>
  </si>
  <si>
    <t>H2O recovery (Qpin+z)</t>
  </si>
  <si>
    <t>Z (L)</t>
  </si>
  <si>
    <t>Vacuum membrane DC</t>
  </si>
  <si>
    <t>--</t>
  </si>
  <si>
    <t>feed in</t>
  </si>
  <si>
    <t>Tfin (°C)</t>
  </si>
  <si>
    <t>Tfout (°C)</t>
  </si>
  <si>
    <t>VMD (kg/h) Feed out</t>
  </si>
  <si>
    <r>
      <t>H2O evap</t>
    </r>
    <r>
      <rPr>
        <b/>
        <sz val="11"/>
        <color theme="1"/>
        <rFont val="Calibri"/>
        <family val="2"/>
        <scheme val="minor"/>
      </rPr>
      <t xml:space="preserve"> Z</t>
    </r>
    <r>
      <rPr>
        <sz val="11"/>
        <color theme="1"/>
        <rFont val="Calibri"/>
        <family val="2"/>
        <scheme val="minor"/>
      </rPr>
      <t xml:space="preserve"> (kg/h)</t>
    </r>
  </si>
  <si>
    <t>Membrane (m²)</t>
  </si>
  <si>
    <t>(cm³)</t>
  </si>
  <si>
    <t>NRJ total (MJ)</t>
  </si>
  <si>
    <t>H2O out = permeate out</t>
  </si>
  <si>
    <t>VMD Tfi change Qf500</t>
  </si>
  <si>
    <t>Tpout (°C)</t>
  </si>
  <si>
    <t xml:space="preserve">Tfo </t>
  </si>
  <si>
    <t>Tfi change Qf400</t>
  </si>
  <si>
    <t>Pfi</t>
  </si>
  <si>
    <t xml:space="preserve">Tfi  </t>
  </si>
  <si>
    <t>Pp</t>
  </si>
  <si>
    <t>DP mean</t>
  </si>
  <si>
    <t>kov no AA</t>
  </si>
  <si>
    <t>kJ (minimum)</t>
  </si>
  <si>
    <t>1 gear pump (feed in)</t>
  </si>
  <si>
    <t>E Heater fi feed  (feed in)</t>
  </si>
  <si>
    <t>E_condenser po Cooler H2O (permeate out)</t>
  </si>
  <si>
    <t>1 gear pump (permeate out condenser)</t>
  </si>
  <si>
    <t>Vacuum pump (permeate)</t>
  </si>
  <si>
    <t>vacuum pump Calcul</t>
  </si>
  <si>
    <t>STEP_VMD energy input</t>
  </si>
  <si>
    <t>ARG /SAR</t>
  </si>
  <si>
    <t>vmd.s0</t>
  </si>
  <si>
    <t>vms.s0.tfi35</t>
  </si>
  <si>
    <t>vms.s0.tfi30</t>
  </si>
  <si>
    <t>vmd.s0.tfi25</t>
  </si>
  <si>
    <t>vmd.s1.tfi30</t>
  </si>
  <si>
    <t>vmd.s0.110</t>
  </si>
  <si>
    <t>vmd.s0.130</t>
  </si>
  <si>
    <t>vmd.s0.150</t>
  </si>
  <si>
    <t>vmd.s1.130</t>
  </si>
  <si>
    <t>vmd.s1.150</t>
  </si>
  <si>
    <t>vmd.s1.tfi30.100</t>
  </si>
  <si>
    <t>55 (AS.kmax)</t>
  </si>
  <si>
    <t>Am lifetime (cm²)</t>
  </si>
  <si>
    <t>Post-treatment</t>
  </si>
  <si>
    <t>SOMME (MJ)</t>
  </si>
  <si>
    <t>watt</t>
  </si>
  <si>
    <t>1 gear pump (membrane -&gt; cryst tank)</t>
  </si>
  <si>
    <t xml:space="preserve">Crystalliser tank </t>
  </si>
  <si>
    <t>1 gear pump (cryst tank -&gt; filtration+washing)</t>
  </si>
  <si>
    <t>Filtration Scroll decanter</t>
  </si>
  <si>
    <t xml:space="preserve">Washing </t>
  </si>
  <si>
    <t>1 gear pump (washing -&gt; regeneration or waste)</t>
  </si>
  <si>
    <t>1 gear pump (regeneration -&gt; ABSO)</t>
  </si>
  <si>
    <t>Washing agent</t>
  </si>
  <si>
    <t>L/h</t>
  </si>
  <si>
    <t xml:space="preserve">Driving force </t>
  </si>
  <si>
    <t>Arithm</t>
  </si>
  <si>
    <t>LN</t>
  </si>
  <si>
    <t>absoA.s1</t>
  </si>
  <si>
    <t>absoA.s2</t>
  </si>
  <si>
    <t>absoS.kMax</t>
  </si>
  <si>
    <t>vmd.s1.tfi40</t>
  </si>
  <si>
    <t>saturation 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</si>
</sst>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0.0000"/>
    <numFmt numFmtId="165" formatCode="0.000000"/>
    <numFmt numFmtId="166" formatCode="0.000"/>
    <numFmt numFmtId="167" formatCode="0.0000000"/>
    <numFmt numFmtId="168" formatCode="0.000E+00"/>
    <numFmt numFmtId="169" formatCode="0.0"/>
    <numFmt numFmtId="170" formatCode="0.00000"/>
    <numFmt numFmtId="171" formatCode="0.0%"/>
    <numFmt numFmtId="172" formatCode="#.##0."/>
    <numFmt numFmtId="173" formatCode="#.##"/>
  </numFmts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 tint="0.499984740745262"/>
      <name val="Calibri"/>
      <family val="2"/>
      <scheme val="minor"/>
    </font>
    <font>
      <b/>
      <sz val="9"/>
      <color theme="1" tint="0.499984740745262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color theme="6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9"/>
      <name val="Calibri"/>
      <family val="2"/>
      <scheme val="minor"/>
    </font>
    <font>
      <strike/>
      <sz val="11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85DFFF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0" fillId="7" borderId="0" applyNumberFormat="0" applyBorder="0" applyAlignment="0" applyProtection="0"/>
  </cellStyleXfs>
  <cellXfs count="242">
    <xf numFmtId="0" fontId="0" fillId="0" borderId="0" xfId="0"/>
    <xf numFmtId="0" fontId="1" fillId="0" borderId="0" xfId="0" applyFont="1"/>
    <xf numFmtId="0" fontId="0" fillId="2" borderId="0" xfId="0" applyFill="1"/>
    <xf numFmtId="0" fontId="0" fillId="0" borderId="0" xfId="0" applyFill="1"/>
    <xf numFmtId="0" fontId="0" fillId="0" borderId="0" xfId="0" applyNumberFormat="1" applyFill="1"/>
    <xf numFmtId="2" fontId="0" fillId="2" borderId="0" xfId="0" applyNumberFormat="1" applyFill="1"/>
    <xf numFmtId="2" fontId="0" fillId="0" borderId="0" xfId="0" applyNumberFormat="1"/>
    <xf numFmtId="2" fontId="1" fillId="0" borderId="0" xfId="0" applyNumberFormat="1" applyFont="1"/>
    <xf numFmtId="2" fontId="0" fillId="3" borderId="0" xfId="0" applyNumberFormat="1" applyFill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1" fontId="0" fillId="0" borderId="0" xfId="0" applyNumberFormat="1"/>
    <xf numFmtId="2" fontId="0" fillId="0" borderId="0" xfId="0" applyNumberFormat="1" applyFill="1"/>
    <xf numFmtId="168" fontId="0" fillId="0" borderId="0" xfId="0" applyNumberFormat="1"/>
    <xf numFmtId="2" fontId="2" fillId="4" borderId="0" xfId="0" applyNumberFormat="1" applyFont="1" applyFill="1"/>
    <xf numFmtId="2" fontId="0" fillId="4" borderId="0" xfId="0" applyNumberFormat="1" applyFill="1"/>
    <xf numFmtId="2" fontId="2" fillId="0" borderId="0" xfId="0" applyNumberFormat="1" applyFont="1" applyFill="1"/>
    <xf numFmtId="164" fontId="0" fillId="0" borderId="0" xfId="0" applyNumberFormat="1" applyFill="1"/>
    <xf numFmtId="0" fontId="0" fillId="3" borderId="0" xfId="0" applyFill="1"/>
    <xf numFmtId="0" fontId="0" fillId="4" borderId="0" xfId="0" applyFill="1"/>
    <xf numFmtId="0" fontId="3" fillId="0" borderId="0" xfId="0" applyFont="1"/>
    <xf numFmtId="169" fontId="0" fillId="0" borderId="0" xfId="0" applyNumberFormat="1"/>
    <xf numFmtId="0" fontId="0" fillId="0" borderId="0" xfId="0" quotePrefix="1"/>
    <xf numFmtId="1" fontId="0" fillId="0" borderId="0" xfId="0" applyNumberFormat="1"/>
    <xf numFmtId="1" fontId="0" fillId="2" borderId="0" xfId="0" applyNumberFormat="1" applyFill="1"/>
    <xf numFmtId="1" fontId="0" fillId="0" borderId="0" xfId="0" applyNumberFormat="1" applyFill="1"/>
    <xf numFmtId="2" fontId="4" fillId="0" borderId="0" xfId="0" applyNumberFormat="1" applyFont="1"/>
    <xf numFmtId="2" fontId="0" fillId="5" borderId="0" xfId="0" applyNumberFormat="1" applyFill="1"/>
    <xf numFmtId="0" fontId="0" fillId="5" borderId="0" xfId="0" applyFill="1"/>
    <xf numFmtId="9" fontId="0" fillId="0" borderId="0" xfId="1" applyFont="1" applyFill="1"/>
    <xf numFmtId="2" fontId="0" fillId="5" borderId="0" xfId="0" applyNumberFormat="1" applyFont="1" applyFill="1" applyBorder="1"/>
    <xf numFmtId="0" fontId="1" fillId="0" borderId="0" xfId="0" applyFont="1" applyFill="1"/>
    <xf numFmtId="43" fontId="0" fillId="0" borderId="0" xfId="2" applyFont="1"/>
    <xf numFmtId="2" fontId="0" fillId="3" borderId="0" xfId="0" applyNumberFormat="1" applyFill="1" applyAlignment="1">
      <alignment horizontal="right"/>
    </xf>
    <xf numFmtId="0" fontId="8" fillId="3" borderId="0" xfId="0" applyFont="1" applyFill="1"/>
    <xf numFmtId="2" fontId="8" fillId="3" borderId="0" xfId="0" applyNumberFormat="1" applyFont="1" applyFill="1"/>
    <xf numFmtId="0" fontId="9" fillId="0" borderId="0" xfId="0" applyFont="1"/>
    <xf numFmtId="2" fontId="1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1" fontId="0" fillId="0" borderId="0" xfId="0" applyNumberFormat="1" applyFont="1" applyFill="1" applyBorder="1"/>
    <xf numFmtId="1" fontId="1" fillId="0" borderId="0" xfId="0" applyNumberFormat="1" applyFont="1" applyFill="1" applyAlignment="1">
      <alignment horizontal="right"/>
    </xf>
    <xf numFmtId="2" fontId="6" fillId="2" borderId="0" xfId="0" applyNumberFormat="1" applyFont="1" applyFill="1"/>
    <xf numFmtId="2" fontId="1" fillId="0" borderId="0" xfId="0" applyNumberFormat="1" applyFont="1" applyFill="1"/>
    <xf numFmtId="0" fontId="0" fillId="0" borderId="0" xfId="0" applyAlignment="1">
      <alignment wrapText="1"/>
    </xf>
    <xf numFmtId="9" fontId="0" fillId="0" borderId="0" xfId="0" applyNumberFormat="1"/>
    <xf numFmtId="9" fontId="0" fillId="2" borderId="0" xfId="1" applyFont="1" applyFill="1"/>
    <xf numFmtId="2" fontId="0" fillId="4" borderId="0" xfId="1" applyNumberFormat="1" applyFont="1" applyFill="1"/>
    <xf numFmtId="0" fontId="0" fillId="0" borderId="0" xfId="0" applyAlignment="1">
      <alignment horizontal="left"/>
    </xf>
    <xf numFmtId="11" fontId="0" fillId="0" borderId="0" xfId="0" applyNumberFormat="1" applyAlignment="1">
      <alignment horizontal="right"/>
    </xf>
    <xf numFmtId="0" fontId="1" fillId="3" borderId="0" xfId="0" applyFont="1" applyFill="1" applyAlignment="1">
      <alignment horizontal="left"/>
    </xf>
    <xf numFmtId="0" fontId="1" fillId="6" borderId="0" xfId="0" applyFont="1" applyFill="1" applyAlignment="1">
      <alignment horizontal="left"/>
    </xf>
    <xf numFmtId="2" fontId="0" fillId="0" borderId="0" xfId="0" applyNumberFormat="1" applyAlignment="1">
      <alignment horizontal="right"/>
    </xf>
    <xf numFmtId="11" fontId="0" fillId="0" borderId="0" xfId="0" applyNumberFormat="1" applyFill="1"/>
    <xf numFmtId="2" fontId="0" fillId="0" borderId="0" xfId="0" applyNumberFormat="1" applyFill="1" applyAlignment="1">
      <alignment wrapText="1"/>
    </xf>
    <xf numFmtId="166" fontId="0" fillId="5" borderId="0" xfId="0" applyNumberFormat="1" applyFill="1"/>
    <xf numFmtId="0" fontId="2" fillId="0" borderId="0" xfId="3" applyFont="1" applyFill="1"/>
    <xf numFmtId="1" fontId="0" fillId="0" borderId="0" xfId="0" applyNumberFormat="1" applyAlignment="1">
      <alignment horizontal="right"/>
    </xf>
    <xf numFmtId="166" fontId="2" fillId="0" borderId="0" xfId="3" applyNumberFormat="1" applyFont="1" applyFill="1"/>
    <xf numFmtId="170" fontId="0" fillId="0" borderId="0" xfId="0" applyNumberFormat="1" applyFill="1"/>
    <xf numFmtId="2" fontId="1" fillId="3" borderId="0" xfId="0" applyNumberFormat="1" applyFont="1" applyFill="1"/>
    <xf numFmtId="1" fontId="0" fillId="4" borderId="0" xfId="0" applyNumberFormat="1" applyFill="1" applyAlignment="1">
      <alignment horizontal="right"/>
    </xf>
    <xf numFmtId="166" fontId="0" fillId="0" borderId="0" xfId="0" applyNumberFormat="1" applyFill="1"/>
    <xf numFmtId="9" fontId="0" fillId="0" borderId="0" xfId="1" applyNumberFormat="1" applyFont="1" applyFill="1"/>
    <xf numFmtId="10" fontId="0" fillId="0" borderId="0" xfId="1" applyNumberFormat="1" applyFont="1" applyFill="1"/>
    <xf numFmtId="1" fontId="0" fillId="4" borderId="0" xfId="0" applyNumberFormat="1" applyFill="1"/>
    <xf numFmtId="2" fontId="0" fillId="0" borderId="0" xfId="0" applyNumberFormat="1" applyAlignment="1"/>
    <xf numFmtId="0" fontId="0" fillId="0" borderId="0" xfId="0" applyFont="1" applyFill="1" applyBorder="1"/>
    <xf numFmtId="0" fontId="0" fillId="0" borderId="0" xfId="0" applyFill="1" applyBorder="1"/>
    <xf numFmtId="0" fontId="0" fillId="0" borderId="0" xfId="0" applyBorder="1"/>
    <xf numFmtId="1" fontId="0" fillId="0" borderId="0" xfId="0" applyNumberFormat="1" applyBorder="1"/>
    <xf numFmtId="166" fontId="2" fillId="8" borderId="0" xfId="0" applyNumberFormat="1" applyFont="1" applyFill="1"/>
    <xf numFmtId="0" fontId="2" fillId="8" borderId="0" xfId="3" applyFont="1" applyFill="1"/>
    <xf numFmtId="0" fontId="0" fillId="8" borderId="0" xfId="0" applyFill="1"/>
    <xf numFmtId="0" fontId="2" fillId="8" borderId="0" xfId="0" applyFont="1" applyFill="1"/>
    <xf numFmtId="0" fontId="1" fillId="9" borderId="0" xfId="0" applyFont="1" applyFill="1"/>
    <xf numFmtId="0" fontId="3" fillId="9" borderId="0" xfId="0" applyFont="1" applyFill="1"/>
    <xf numFmtId="166" fontId="0" fillId="8" borderId="0" xfId="0" applyNumberFormat="1" applyFill="1"/>
    <xf numFmtId="166" fontId="2" fillId="8" borderId="0" xfId="3" applyNumberFormat="1" applyFont="1" applyFill="1" applyBorder="1"/>
    <xf numFmtId="2" fontId="1" fillId="9" borderId="0" xfId="0" applyNumberFormat="1" applyFont="1" applyFill="1"/>
    <xf numFmtId="1" fontId="0" fillId="0" borderId="0" xfId="2" applyNumberFormat="1" applyFont="1"/>
    <xf numFmtId="1" fontId="0" fillId="0" borderId="0" xfId="2" applyNumberFormat="1" applyFont="1" applyFill="1"/>
    <xf numFmtId="2" fontId="11" fillId="0" borderId="0" xfId="0" applyNumberFormat="1" applyFont="1"/>
    <xf numFmtId="0" fontId="12" fillId="0" borderId="0" xfId="0" applyFont="1"/>
    <xf numFmtId="0" fontId="13" fillId="0" borderId="0" xfId="0" applyFont="1" applyFill="1"/>
    <xf numFmtId="0" fontId="12" fillId="0" borderId="0" xfId="0" applyFont="1" applyFill="1"/>
    <xf numFmtId="1" fontId="12" fillId="0" borderId="0" xfId="0" applyNumberFormat="1" applyFont="1"/>
    <xf numFmtId="11" fontId="12" fillId="0" borderId="0" xfId="0" applyNumberFormat="1" applyFont="1"/>
    <xf numFmtId="1" fontId="12" fillId="0" borderId="0" xfId="0" applyNumberFormat="1" applyFont="1" applyFill="1"/>
    <xf numFmtId="0" fontId="1" fillId="0" borderId="0" xfId="0" applyFont="1" applyFill="1" applyAlignment="1">
      <alignment horizontal="right"/>
    </xf>
    <xf numFmtId="169" fontId="0" fillId="0" borderId="0" xfId="0" applyNumberFormat="1" applyFill="1"/>
    <xf numFmtId="1" fontId="0" fillId="0" borderId="0" xfId="0" applyNumberFormat="1" applyFill="1" applyAlignment="1">
      <alignment horizontal="right"/>
    </xf>
    <xf numFmtId="9" fontId="0" fillId="0" borderId="0" xfId="1" applyFont="1" applyAlignment="1">
      <alignment horizontal="right"/>
    </xf>
    <xf numFmtId="2" fontId="0" fillId="10" borderId="0" xfId="0" applyNumberFormat="1" applyFill="1"/>
    <xf numFmtId="1" fontId="0" fillId="10" borderId="0" xfId="0" applyNumberFormat="1" applyFill="1" applyAlignment="1">
      <alignment horizontal="right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1" fontId="0" fillId="10" borderId="0" xfId="0" applyNumberFormat="1" applyFill="1"/>
    <xf numFmtId="0" fontId="0" fillId="10" borderId="0" xfId="0" applyFill="1"/>
    <xf numFmtId="166" fontId="0" fillId="0" borderId="0" xfId="0" applyNumberFormat="1" applyAlignment="1">
      <alignment horizontal="right"/>
    </xf>
    <xf numFmtId="0" fontId="0" fillId="0" borderId="0" xfId="0" applyFill="1" applyAlignment="1">
      <alignment horizontal="right"/>
    </xf>
    <xf numFmtId="0" fontId="1" fillId="0" borderId="0" xfId="0" applyFont="1" applyFill="1" applyAlignment="1">
      <alignment horizontal="left"/>
    </xf>
    <xf numFmtId="0" fontId="0" fillId="9" borderId="0" xfId="0" applyFill="1" applyAlignment="1">
      <alignment horizontal="right"/>
    </xf>
    <xf numFmtId="0" fontId="0" fillId="11" borderId="0" xfId="0" applyFill="1" applyAlignment="1">
      <alignment horizontal="right"/>
    </xf>
    <xf numFmtId="11" fontId="1" fillId="3" borderId="0" xfId="0" applyNumberFormat="1" applyFont="1" applyFill="1" applyAlignment="1">
      <alignment horizontal="left"/>
    </xf>
    <xf numFmtId="166" fontId="1" fillId="3" borderId="0" xfId="0" applyNumberFormat="1" applyFont="1" applyFill="1" applyAlignment="1">
      <alignment horizontal="left"/>
    </xf>
    <xf numFmtId="166" fontId="0" fillId="11" borderId="0" xfId="0" applyNumberFormat="1" applyFill="1" applyAlignment="1">
      <alignment horizontal="right"/>
    </xf>
    <xf numFmtId="11" fontId="0" fillId="0" borderId="0" xfId="0" applyNumberFormat="1" applyFill="1" applyAlignment="1">
      <alignment horizontal="right"/>
    </xf>
    <xf numFmtId="10" fontId="0" fillId="0" borderId="0" xfId="1" applyNumberFormat="1" applyFont="1" applyAlignment="1">
      <alignment horizontal="left" wrapText="1"/>
    </xf>
    <xf numFmtId="10" fontId="1" fillId="3" borderId="0" xfId="1" applyNumberFormat="1" applyFont="1" applyFill="1" applyAlignment="1">
      <alignment horizontal="left"/>
    </xf>
    <xf numFmtId="10" fontId="0" fillId="0" borderId="0" xfId="1" applyNumberFormat="1" applyFont="1" applyAlignment="1">
      <alignment horizontal="right"/>
    </xf>
    <xf numFmtId="10" fontId="0" fillId="0" borderId="0" xfId="1" applyNumberFormat="1" applyFont="1"/>
    <xf numFmtId="11" fontId="15" fillId="0" borderId="0" xfId="0" applyNumberFormat="1" applyFont="1" applyAlignment="1">
      <alignment horizontal="right"/>
    </xf>
    <xf numFmtId="0" fontId="1" fillId="6" borderId="0" xfId="0" applyFont="1" applyFill="1" applyAlignment="1">
      <alignment horizontal="right"/>
    </xf>
    <xf numFmtId="0" fontId="0" fillId="11" borderId="0" xfId="0" applyFill="1"/>
    <xf numFmtId="0" fontId="0" fillId="0" borderId="0" xfId="0" applyNumberFormat="1"/>
    <xf numFmtId="1" fontId="0" fillId="11" borderId="0" xfId="0" applyNumberFormat="1" applyFill="1"/>
    <xf numFmtId="1" fontId="1" fillId="0" borderId="0" xfId="0" applyNumberFormat="1" applyFont="1"/>
    <xf numFmtId="1" fontId="1" fillId="0" borderId="0" xfId="0" applyNumberFormat="1" applyFont="1" applyFill="1"/>
    <xf numFmtId="0" fontId="17" fillId="0" borderId="0" xfId="0" applyFont="1"/>
    <xf numFmtId="2" fontId="17" fillId="0" borderId="0" xfId="0" applyNumberFormat="1" applyFont="1"/>
    <xf numFmtId="2" fontId="17" fillId="0" borderId="0" xfId="0" applyNumberFormat="1" applyFont="1" applyAlignment="1"/>
    <xf numFmtId="166" fontId="3" fillId="8" borderId="0" xfId="0" applyNumberFormat="1" applyFont="1" applyFill="1"/>
    <xf numFmtId="0" fontId="18" fillId="9" borderId="0" xfId="0" applyFont="1" applyFill="1" applyAlignment="1">
      <alignment horizontal="right"/>
    </xf>
    <xf numFmtId="1" fontId="1" fillId="3" borderId="0" xfId="0" applyNumberFormat="1" applyFont="1" applyFill="1" applyAlignment="1">
      <alignment horizontal="left"/>
    </xf>
    <xf numFmtId="0" fontId="19" fillId="0" borderId="0" xfId="0" applyFont="1"/>
    <xf numFmtId="9" fontId="19" fillId="0" borderId="0" xfId="1" applyFont="1"/>
    <xf numFmtId="2" fontId="2" fillId="0" borderId="0" xfId="0" applyNumberFormat="1" applyFont="1"/>
    <xf numFmtId="2" fontId="3" fillId="0" borderId="0" xfId="0" applyNumberFormat="1" applyFont="1"/>
    <xf numFmtId="0" fontId="19" fillId="0" borderId="0" xfId="0" applyFont="1" applyFill="1"/>
    <xf numFmtId="1" fontId="19" fillId="0" borderId="0" xfId="0" applyNumberFormat="1" applyFont="1" applyFill="1"/>
    <xf numFmtId="9" fontId="19" fillId="0" borderId="0" xfId="0" applyNumberFormat="1" applyFont="1"/>
    <xf numFmtId="0" fontId="0" fillId="0" borderId="0" xfId="0" applyFont="1" applyFill="1"/>
    <xf numFmtId="11" fontId="19" fillId="0" borderId="0" xfId="0" applyNumberFormat="1" applyFont="1"/>
    <xf numFmtId="2" fontId="19" fillId="0" borderId="0" xfId="0" applyNumberFormat="1" applyFont="1"/>
    <xf numFmtId="0" fontId="20" fillId="0" borderId="0" xfId="0" applyFont="1"/>
    <xf numFmtId="0" fontId="21" fillId="0" borderId="0" xfId="0" applyFont="1"/>
    <xf numFmtId="0" fontId="15" fillId="0" borderId="0" xfId="0" applyFont="1"/>
    <xf numFmtId="166" fontId="15" fillId="0" borderId="0" xfId="0" applyNumberFormat="1" applyFont="1"/>
    <xf numFmtId="2" fontId="15" fillId="0" borderId="0" xfId="0" applyNumberFormat="1" applyFont="1"/>
    <xf numFmtId="166" fontId="15" fillId="0" borderId="0" xfId="0" applyNumberFormat="1" applyFont="1" applyFill="1"/>
    <xf numFmtId="1" fontId="15" fillId="0" borderId="0" xfId="0" applyNumberFormat="1" applyFont="1"/>
    <xf numFmtId="166" fontId="12" fillId="0" borderId="0" xfId="0" applyNumberFormat="1" applyFont="1"/>
    <xf numFmtId="1" fontId="2" fillId="0" borderId="0" xfId="0" applyNumberFormat="1" applyFont="1"/>
    <xf numFmtId="0" fontId="15" fillId="0" borderId="0" xfId="0" applyFont="1" applyAlignment="1">
      <alignment wrapText="1"/>
    </xf>
    <xf numFmtId="0" fontId="15" fillId="0" borderId="0" xfId="0" applyFont="1" applyAlignment="1">
      <alignment horizontal="right"/>
    </xf>
    <xf numFmtId="0" fontId="15" fillId="0" borderId="0" xfId="0" applyNumberFormat="1" applyFont="1" applyAlignment="1">
      <alignment horizontal="right"/>
    </xf>
    <xf numFmtId="11" fontId="15" fillId="0" borderId="0" xfId="0" applyNumberFormat="1" applyFont="1"/>
    <xf numFmtId="0" fontId="15" fillId="9" borderId="0" xfId="0" applyFont="1" applyFill="1" applyAlignment="1">
      <alignment horizontal="right"/>
    </xf>
    <xf numFmtId="0" fontId="15" fillId="11" borderId="0" xfId="0" applyFont="1" applyFill="1"/>
    <xf numFmtId="1" fontId="15" fillId="11" borderId="0" xfId="0" applyNumberFormat="1" applyFont="1" applyFill="1" applyAlignment="1">
      <alignment horizontal="right"/>
    </xf>
    <xf numFmtId="2" fontId="15" fillId="11" borderId="0" xfId="0" applyNumberFormat="1" applyFont="1" applyFill="1" applyAlignment="1">
      <alignment horizontal="right"/>
    </xf>
    <xf numFmtId="1" fontId="15" fillId="0" borderId="0" xfId="0" applyNumberFormat="1" applyFont="1" applyAlignment="1">
      <alignment horizontal="right"/>
    </xf>
    <xf numFmtId="0" fontId="15" fillId="0" borderId="0" xfId="0" applyFont="1" applyFill="1"/>
    <xf numFmtId="0" fontId="2" fillId="0" borderId="0" xfId="0" applyFont="1"/>
    <xf numFmtId="0" fontId="2" fillId="9" borderId="0" xfId="0" applyFont="1" applyFill="1"/>
    <xf numFmtId="0" fontId="2" fillId="11" borderId="0" xfId="0" applyFont="1" applyFill="1"/>
    <xf numFmtId="0" fontId="2" fillId="0" borderId="0" xfId="0" applyFont="1" applyFill="1"/>
    <xf numFmtId="2" fontId="12" fillId="0" borderId="0" xfId="0" applyNumberFormat="1" applyFont="1" applyAlignment="1">
      <alignment horizontal="right"/>
    </xf>
    <xf numFmtId="2" fontId="15" fillId="0" borderId="0" xfId="0" applyNumberFormat="1" applyFont="1" applyFill="1"/>
    <xf numFmtId="9" fontId="15" fillId="0" borderId="0" xfId="1" applyFont="1"/>
    <xf numFmtId="1" fontId="15" fillId="11" borderId="0" xfId="0" applyNumberFormat="1" applyFont="1" applyFill="1"/>
    <xf numFmtId="0" fontId="0" fillId="0" borderId="0" xfId="0" applyFont="1" applyAlignment="1">
      <alignment horizontal="right"/>
    </xf>
    <xf numFmtId="0" fontId="1" fillId="3" borderId="0" xfId="0" applyFont="1" applyFill="1"/>
    <xf numFmtId="11" fontId="15" fillId="11" borderId="0" xfId="0" applyNumberFormat="1" applyFont="1" applyFill="1"/>
    <xf numFmtId="11" fontId="15" fillId="0" borderId="0" xfId="0" applyNumberFormat="1" applyFont="1" applyFill="1" applyAlignment="1">
      <alignment horizontal="right"/>
    </xf>
    <xf numFmtId="3" fontId="15" fillId="11" borderId="0" xfId="0" applyNumberFormat="1" applyFont="1" applyFill="1" applyAlignment="1">
      <alignment horizontal="right"/>
    </xf>
    <xf numFmtId="9" fontId="0" fillId="0" borderId="0" xfId="1" applyFont="1"/>
    <xf numFmtId="0" fontId="22" fillId="0" borderId="0" xfId="0" applyFont="1"/>
    <xf numFmtId="11" fontId="2" fillId="0" borderId="0" xfId="0" applyNumberFormat="1" applyFont="1" applyAlignment="1">
      <alignment horizontal="right"/>
    </xf>
    <xf numFmtId="11" fontId="22" fillId="0" borderId="0" xfId="0" applyNumberFormat="1" applyFont="1" applyAlignment="1">
      <alignment horizontal="right"/>
    </xf>
    <xf numFmtId="0" fontId="22" fillId="0" borderId="0" xfId="0" applyFont="1" applyFill="1"/>
    <xf numFmtId="1" fontId="2" fillId="11" borderId="0" xfId="0" applyNumberFormat="1" applyFont="1" applyFill="1"/>
    <xf numFmtId="171" fontId="0" fillId="0" borderId="0" xfId="1" applyNumberFormat="1" applyFont="1"/>
    <xf numFmtId="11" fontId="2" fillId="0" borderId="0" xfId="0" applyNumberFormat="1" applyFont="1"/>
    <xf numFmtId="0" fontId="2" fillId="9" borderId="0" xfId="0" applyFont="1" applyFill="1" applyAlignment="1">
      <alignment horizontal="right"/>
    </xf>
    <xf numFmtId="11" fontId="15" fillId="0" borderId="0" xfId="0" applyNumberFormat="1" applyFont="1" applyFill="1"/>
    <xf numFmtId="11" fontId="18" fillId="0" borderId="0" xfId="0" applyNumberFormat="1" applyFont="1"/>
    <xf numFmtId="0" fontId="23" fillId="0" borderId="0" xfId="0" applyFont="1"/>
    <xf numFmtId="1" fontId="23" fillId="0" borderId="0" xfId="0" applyNumberFormat="1" applyFont="1"/>
    <xf numFmtId="0" fontId="11" fillId="0" borderId="0" xfId="0" applyFont="1"/>
    <xf numFmtId="166" fontId="0" fillId="10" borderId="0" xfId="0" applyNumberFormat="1" applyFill="1"/>
    <xf numFmtId="2" fontId="24" fillId="3" borderId="0" xfId="0" applyNumberFormat="1" applyFont="1" applyFill="1"/>
    <xf numFmtId="9" fontId="11" fillId="0" borderId="0" xfId="0" applyNumberFormat="1" applyFont="1"/>
    <xf numFmtId="0" fontId="3" fillId="9" borderId="0" xfId="0" applyFont="1" applyFill="1" applyAlignment="1">
      <alignment horizontal="right"/>
    </xf>
    <xf numFmtId="0" fontId="3" fillId="0" borderId="0" xfId="0" applyFont="1" applyFill="1"/>
    <xf numFmtId="10" fontId="3" fillId="11" borderId="0" xfId="1" applyNumberFormat="1" applyFont="1" applyFill="1" applyAlignment="1">
      <alignment horizontal="right"/>
    </xf>
    <xf numFmtId="0" fontId="3" fillId="0" borderId="0" xfId="0" applyFont="1" applyAlignment="1">
      <alignment horizontal="right"/>
    </xf>
    <xf numFmtId="3" fontId="3" fillId="0" borderId="0" xfId="0" applyNumberFormat="1" applyFont="1"/>
    <xf numFmtId="166" fontId="3" fillId="0" borderId="0" xfId="0" applyNumberFormat="1" applyFont="1"/>
    <xf numFmtId="11" fontId="3" fillId="0" borderId="1" xfId="0" applyNumberFormat="1" applyFont="1" applyBorder="1"/>
    <xf numFmtId="11" fontId="3" fillId="0" borderId="0" xfId="0" applyNumberFormat="1" applyFont="1"/>
    <xf numFmtId="0" fontId="3" fillId="11" borderId="0" xfId="0" applyFont="1" applyFill="1" applyAlignment="1">
      <alignment horizontal="right"/>
    </xf>
    <xf numFmtId="1" fontId="1" fillId="11" borderId="0" xfId="0" applyNumberFormat="1" applyFont="1" applyFill="1" applyAlignment="1">
      <alignment horizontal="right"/>
    </xf>
    <xf numFmtId="166" fontId="3" fillId="11" borderId="0" xfId="0" applyNumberFormat="1" applyFont="1" applyFill="1" applyAlignment="1">
      <alignment horizontal="right"/>
    </xf>
    <xf numFmtId="0" fontId="1" fillId="9" borderId="0" xfId="0" applyFont="1" applyFill="1" applyAlignment="1">
      <alignment horizontal="right"/>
    </xf>
    <xf numFmtId="11" fontId="1" fillId="0" borderId="0" xfId="0" applyNumberFormat="1" applyFont="1"/>
    <xf numFmtId="0" fontId="1" fillId="11" borderId="0" xfId="0" applyFont="1" applyFill="1" applyAlignment="1">
      <alignment horizontal="right"/>
    </xf>
    <xf numFmtId="166" fontId="1" fillId="11" borderId="0" xfId="0" applyNumberFormat="1" applyFont="1" applyFill="1" applyAlignment="1">
      <alignment horizontal="right"/>
    </xf>
    <xf numFmtId="0" fontId="1" fillId="0" borderId="0" xfId="0" applyFont="1" applyAlignment="1">
      <alignment horizontal="right"/>
    </xf>
    <xf numFmtId="9" fontId="1" fillId="0" borderId="0" xfId="0" applyNumberFormat="1" applyFont="1"/>
    <xf numFmtId="0" fontId="1" fillId="11" borderId="0" xfId="0" applyFont="1" applyFill="1"/>
    <xf numFmtId="1" fontId="1" fillId="11" borderId="0" xfId="0" applyNumberFormat="1" applyFont="1" applyFill="1"/>
    <xf numFmtId="9" fontId="25" fillId="0" borderId="0" xfId="0" applyNumberFormat="1" applyFont="1"/>
    <xf numFmtId="0" fontId="3" fillId="11" borderId="0" xfId="0" applyFont="1" applyFill="1"/>
    <xf numFmtId="0" fontId="0" fillId="0" borderId="0" xfId="0" quotePrefix="1" applyAlignment="1">
      <alignment horizontal="right"/>
    </xf>
    <xf numFmtId="2" fontId="0" fillId="11" borderId="0" xfId="1" applyNumberFormat="1" applyFont="1" applyFill="1" applyAlignment="1">
      <alignment horizontal="right"/>
    </xf>
    <xf numFmtId="10" fontId="1" fillId="11" borderId="0" xfId="1" applyNumberFormat="1" applyFont="1" applyFill="1" applyAlignment="1">
      <alignment horizontal="right"/>
    </xf>
    <xf numFmtId="11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0" fontId="19" fillId="0" borderId="0" xfId="0" applyFont="1" applyAlignment="1">
      <alignment horizontal="right"/>
    </xf>
    <xf numFmtId="0" fontId="19" fillId="9" borderId="0" xfId="0" applyFont="1" applyFill="1" applyAlignment="1">
      <alignment horizontal="right"/>
    </xf>
    <xf numFmtId="10" fontId="19" fillId="11" borderId="0" xfId="1" applyNumberFormat="1" applyFont="1" applyFill="1" applyAlignment="1">
      <alignment horizontal="right"/>
    </xf>
    <xf numFmtId="1" fontId="19" fillId="0" borderId="0" xfId="0" applyNumberFormat="1" applyFont="1" applyFill="1" applyAlignment="1">
      <alignment horizontal="right"/>
    </xf>
    <xf numFmtId="0" fontId="19" fillId="11" borderId="0" xfId="0" applyFont="1" applyFill="1" applyAlignment="1">
      <alignment horizontal="right"/>
    </xf>
    <xf numFmtId="1" fontId="19" fillId="11" borderId="0" xfId="0" applyNumberFormat="1" applyFont="1" applyFill="1" applyAlignment="1">
      <alignment horizontal="right"/>
    </xf>
    <xf numFmtId="166" fontId="19" fillId="11" borderId="0" xfId="0" applyNumberFormat="1" applyFont="1" applyFill="1" applyAlignment="1">
      <alignment horizontal="right"/>
    </xf>
    <xf numFmtId="11" fontId="1" fillId="0" borderId="0" xfId="0" applyNumberFormat="1" applyFont="1" applyFill="1"/>
    <xf numFmtId="11" fontId="1" fillId="0" borderId="0" xfId="0" applyNumberFormat="1" applyFont="1" applyFill="1" applyAlignment="1">
      <alignment horizontal="right"/>
    </xf>
    <xf numFmtId="166" fontId="1" fillId="0" borderId="0" xfId="0" applyNumberFormat="1" applyFont="1" applyFill="1" applyAlignment="1">
      <alignment horizontal="right"/>
    </xf>
    <xf numFmtId="3" fontId="1" fillId="0" borderId="0" xfId="0" applyNumberFormat="1" applyFont="1" applyAlignment="1">
      <alignment horizontal="right"/>
    </xf>
    <xf numFmtId="2" fontId="1" fillId="0" borderId="0" xfId="0" applyNumberFormat="1" applyFont="1" applyFill="1" applyAlignment="1">
      <alignment horizontal="right"/>
    </xf>
    <xf numFmtId="173" fontId="1" fillId="0" borderId="0" xfId="0" applyNumberFormat="1" applyFont="1" applyAlignment="1">
      <alignment horizontal="right"/>
    </xf>
    <xf numFmtId="166" fontId="19" fillId="0" borderId="0" xfId="0" applyNumberFormat="1" applyFont="1"/>
    <xf numFmtId="1" fontId="19" fillId="0" borderId="0" xfId="0" applyNumberFormat="1" applyFont="1" applyAlignment="1">
      <alignment horizontal="right"/>
    </xf>
    <xf numFmtId="0" fontId="1" fillId="0" borderId="0" xfId="0" applyFont="1" applyAlignment="1">
      <alignment horizontal="right" vertical="top" wrapText="1"/>
    </xf>
    <xf numFmtId="3" fontId="1" fillId="0" borderId="0" xfId="0" applyNumberFormat="1" applyFont="1"/>
    <xf numFmtId="172" fontId="1" fillId="0" borderId="0" xfId="0" applyNumberFormat="1" applyFont="1"/>
    <xf numFmtId="169" fontId="1" fillId="11" borderId="0" xfId="0" applyNumberFormat="1" applyFont="1" applyFill="1" applyAlignment="1">
      <alignment horizontal="right"/>
    </xf>
    <xf numFmtId="2" fontId="1" fillId="11" borderId="0" xfId="0" applyNumberFormat="1" applyFont="1" applyFill="1" applyAlignment="1">
      <alignment horizontal="right"/>
    </xf>
    <xf numFmtId="11" fontId="3" fillId="0" borderId="0" xfId="0" applyNumberFormat="1" applyFont="1" applyFill="1"/>
    <xf numFmtId="166" fontId="1" fillId="0" borderId="0" xfId="0" applyNumberFormat="1" applyFont="1"/>
    <xf numFmtId="1" fontId="3" fillId="0" borderId="0" xfId="0" applyNumberFormat="1" applyFont="1"/>
    <xf numFmtId="0" fontId="23" fillId="9" borderId="0" xfId="0" applyFont="1" applyFill="1" applyAlignment="1">
      <alignment horizontal="right"/>
    </xf>
    <xf numFmtId="1" fontId="3" fillId="11" borderId="0" xfId="0" applyNumberFormat="1" applyFont="1" applyFill="1"/>
    <xf numFmtId="0" fontId="14" fillId="0" borderId="0" xfId="0" applyFont="1" applyFill="1" applyBorder="1"/>
    <xf numFmtId="2" fontId="0" fillId="0" borderId="0" xfId="0" applyNumberFormat="1" applyFill="1" applyBorder="1"/>
    <xf numFmtId="2" fontId="1" fillId="0" borderId="0" xfId="0" applyNumberFormat="1" applyFont="1" applyFill="1" applyBorder="1"/>
    <xf numFmtId="0" fontId="0" fillId="0" borderId="0" xfId="0" applyAlignment="1">
      <alignment horizontal="left" vertical="center" wrapText="1"/>
    </xf>
    <xf numFmtId="169" fontId="1" fillId="11" borderId="0" xfId="0" applyNumberFormat="1" applyFont="1" applyFill="1"/>
    <xf numFmtId="0" fontId="0" fillId="0" borderId="0" xfId="0" applyAlignment="1">
      <alignment horizontal="left" vertical="center" wrapText="1"/>
    </xf>
  </cellXfs>
  <cellStyles count="4">
    <cellStyle name="Milliers" xfId="2" builtinId="3"/>
    <cellStyle name="Normal" xfId="0" builtinId="0"/>
    <cellStyle name="Pourcentage" xfId="1" builtinId="5"/>
    <cellStyle name="Satisfaisant" xfId="3" builtinId="26"/>
  </cellStyles>
  <dxfs count="7">
    <dxf>
      <numFmt numFmtId="2" formatCode="0.00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colors>
    <mruColors>
      <color rgb="FF85D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817118267714514"/>
          <c:y val="0.13962002268521281"/>
          <c:w val="0.72160950487856013"/>
          <c:h val="0.66518441337333412"/>
        </c:manualLayout>
      </c:layout>
      <c:scatterChart>
        <c:scatterStyle val="smoothMarker"/>
        <c:varyColors val="0"/>
        <c:ser>
          <c:idx val="0"/>
          <c:order val="0"/>
          <c:tx>
            <c:strRef>
              <c:f>saturation!$D$1</c:f>
              <c:strCache>
                <c:ptCount val="1"/>
                <c:pt idx="0">
                  <c:v>[NaHCO3]saturation mol/kg</c:v>
                </c:pt>
              </c:strCache>
            </c:strRef>
          </c:tx>
          <c:spPr>
            <a:ln w="444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saturation!$B$2:$B$7</c:f>
              <c:numCache>
                <c:formatCode>General</c:formatCode>
                <c:ptCount val="6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</c:numCache>
            </c:numRef>
          </c:xVal>
          <c:yVal>
            <c:numRef>
              <c:f>saturation!$D$2:$D$7</c:f>
              <c:numCache>
                <c:formatCode>0.00</c:formatCode>
                <c:ptCount val="6"/>
                <c:pt idx="0">
                  <c:v>0.82078571428571423</c:v>
                </c:pt>
                <c:pt idx="1">
                  <c:v>0.97310714285714284</c:v>
                </c:pt>
                <c:pt idx="2">
                  <c:v>1.1397142857142857</c:v>
                </c:pt>
                <c:pt idx="3">
                  <c:v>1.3206071428571429</c:v>
                </c:pt>
                <c:pt idx="4">
                  <c:v>1.5157857142857143</c:v>
                </c:pt>
                <c:pt idx="5">
                  <c:v>1.72525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F04-4D22-93F0-A58368FED2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0687520"/>
        <c:axId val="780695392"/>
        <c:extLst>
          <c:ext xmlns:c15="http://schemas.microsoft.com/office/drawing/2012/chart" uri="{02D57815-91ED-43cb-92C2-25804820EDAC}">
            <c15:filteredScatte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saturation!$F$1</c15:sqref>
                        </c15:formulaRef>
                      </c:ext>
                    </c:extLst>
                    <c:strCache>
                      <c:ptCount val="1"/>
                      <c:pt idx="0">
                        <c:v>[NaHCO3]supersatmol/kg</c:v>
                      </c:pt>
                    </c:strCache>
                  </c:strRef>
                </c:tx>
                <c:spPr>
                  <a:ln w="19050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>
                      <c:ext uri="{02D57815-91ED-43cb-92C2-25804820EDAC}">
                        <c15:formulaRef>
                          <c15:sqref>saturation!$B$2:$B$7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0</c:v>
                      </c:pt>
                      <c:pt idx="1">
                        <c:v>10</c:v>
                      </c:pt>
                      <c:pt idx="2">
                        <c:v>20</c:v>
                      </c:pt>
                      <c:pt idx="3">
                        <c:v>30</c:v>
                      </c:pt>
                      <c:pt idx="4">
                        <c:v>40</c:v>
                      </c:pt>
                      <c:pt idx="5">
                        <c:v>50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saturation!$F$2:$F$7</c15:sqref>
                        </c15:formulaRef>
                      </c:ext>
                    </c:extLst>
                    <c:numCache>
                      <c:formatCode>0.00</c:formatCode>
                      <c:ptCount val="6"/>
                      <c:pt idx="0">
                        <c:v>0.82078571428571423</c:v>
                      </c:pt>
                      <c:pt idx="1">
                        <c:v>0.97310714285714284</c:v>
                      </c:pt>
                      <c:pt idx="2">
                        <c:v>1.1397142857142857</c:v>
                      </c:pt>
                      <c:pt idx="3">
                        <c:v>1.3206071428571429</c:v>
                      </c:pt>
                      <c:pt idx="4">
                        <c:v>1.5157857142857143</c:v>
                      </c:pt>
                      <c:pt idx="5">
                        <c:v>1.72525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1-FF04-4D22-93F0-A58368FED273}"/>
                  </c:ext>
                </c:extLst>
              </c15:ser>
            </c15:filteredScatterSeries>
          </c:ext>
        </c:extLst>
      </c:scatterChart>
      <c:valAx>
        <c:axId val="780687520"/>
        <c:scaling>
          <c:orientation val="minMax"/>
          <c:max val="4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/>
                  <a:t>Temperature [°C]</a:t>
                </a:r>
              </a:p>
            </c:rich>
          </c:tx>
          <c:layout>
            <c:manualLayout>
              <c:xMode val="edge"/>
              <c:yMode val="edge"/>
              <c:x val="0.40374277145187576"/>
              <c:y val="0.8926205898155333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80695392"/>
        <c:crosses val="autoZero"/>
        <c:crossBetween val="midCat"/>
      </c:valAx>
      <c:valAx>
        <c:axId val="780695392"/>
        <c:scaling>
          <c:orientation val="minMax"/>
          <c:max val="2"/>
          <c:min val="0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80687520"/>
        <c:crosses val="autoZero"/>
        <c:crossBetween val="midCat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strRef>
              <c:f>'Driving force'!$B$9:$B$13</c:f>
              <c:strCache>
                <c:ptCount val="5"/>
                <c:pt idx="0">
                  <c:v>vmd.s0</c:v>
                </c:pt>
                <c:pt idx="1">
                  <c:v>vms.s0.tfi35</c:v>
                </c:pt>
                <c:pt idx="2">
                  <c:v>vms.s0.tfi30</c:v>
                </c:pt>
                <c:pt idx="3">
                  <c:v>vmd.s1.tfi40</c:v>
                </c:pt>
                <c:pt idx="4">
                  <c:v>vmd.s1.tfi30</c:v>
                </c:pt>
              </c:strCache>
            </c:strRef>
          </c:xVal>
          <c:yVal>
            <c:numRef>
              <c:f>'Driving force'!$C$9:$C$13</c:f>
              <c:numCache>
                <c:formatCode>General</c:formatCode>
                <c:ptCount val="5"/>
                <c:pt idx="0">
                  <c:v>3586</c:v>
                </c:pt>
                <c:pt idx="1">
                  <c:v>2118</c:v>
                </c:pt>
                <c:pt idx="2">
                  <c:v>957</c:v>
                </c:pt>
                <c:pt idx="3">
                  <c:v>3094</c:v>
                </c:pt>
                <c:pt idx="4">
                  <c:v>676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0D1-4831-B7E3-CC9AD20FF312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strRef>
              <c:f>'Driving force'!$B$9:$B$13</c:f>
              <c:strCache>
                <c:ptCount val="5"/>
                <c:pt idx="0">
                  <c:v>vmd.s0</c:v>
                </c:pt>
                <c:pt idx="1">
                  <c:v>vms.s0.tfi35</c:v>
                </c:pt>
                <c:pt idx="2">
                  <c:v>vms.s0.tfi30</c:v>
                </c:pt>
                <c:pt idx="3">
                  <c:v>vmd.s1.tfi40</c:v>
                </c:pt>
                <c:pt idx="4">
                  <c:v>vmd.s1.tfi30</c:v>
                </c:pt>
              </c:strCache>
            </c:strRef>
          </c:xVal>
          <c:yVal>
            <c:numRef>
              <c:f>'Driving force'!$D$9:$D$13</c:f>
              <c:numCache>
                <c:formatCode>0.0</c:formatCode>
                <c:ptCount val="5"/>
                <c:pt idx="0" formatCode="General">
                  <c:v>3570</c:v>
                </c:pt>
                <c:pt idx="1">
                  <c:v>2113.3392649841144</c:v>
                </c:pt>
                <c:pt idx="2">
                  <c:v>958.35820770235557</c:v>
                </c:pt>
                <c:pt idx="3" formatCode="General">
                  <c:v>3094</c:v>
                </c:pt>
                <c:pt idx="4" formatCode="General">
                  <c:v>657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0D1-4831-B7E3-CC9AD20FF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35505352"/>
        <c:axId val="1235508304"/>
      </c:scatterChart>
      <c:valAx>
        <c:axId val="1235505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35508304"/>
        <c:crosses val="autoZero"/>
        <c:crossBetween val="midCat"/>
      </c:valAx>
      <c:valAx>
        <c:axId val="1235508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355053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6021</xdr:colOff>
      <xdr:row>2</xdr:row>
      <xdr:rowOff>15411</xdr:rowOff>
    </xdr:from>
    <xdr:to>
      <xdr:col>26</xdr:col>
      <xdr:colOff>533434</xdr:colOff>
      <xdr:row>36</xdr:row>
      <xdr:rowOff>49587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6305A937-7A77-46AF-AB20-730D41FB17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713459" y="375007"/>
          <a:ext cx="8489885" cy="6301411"/>
        </a:xfrm>
        <a:prstGeom prst="rect">
          <a:avLst/>
        </a:prstGeom>
      </xdr:spPr>
    </xdr:pic>
    <xdr:clientData/>
  </xdr:twoCellAnchor>
  <xdr:twoCellAnchor>
    <xdr:from>
      <xdr:col>9</xdr:col>
      <xdr:colOff>688299</xdr:colOff>
      <xdr:row>5</xdr:row>
      <xdr:rowOff>163857</xdr:rowOff>
    </xdr:from>
    <xdr:to>
      <xdr:col>17</xdr:col>
      <xdr:colOff>626747</xdr:colOff>
      <xdr:row>26</xdr:row>
      <xdr:rowOff>149795</xdr:rowOff>
    </xdr:to>
    <xdr:graphicFrame macro="">
      <xdr:nvGraphicFramePr>
        <xdr:cNvPr id="6" name="Graphique 5" descr="kn b&#10;">
          <a:extLst>
            <a:ext uri="{FF2B5EF4-FFF2-40B4-BE49-F238E27FC236}">
              <a16:creationId xmlns:a16="http://schemas.microsoft.com/office/drawing/2014/main" id="{5E586419-7A7F-49EE-B8D4-F79BB0F2729E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0.01863</cdr:x>
      <cdr:y>0</cdr:y>
    </cdr:from>
    <cdr:to>
      <cdr:x>0.09031</cdr:x>
      <cdr:y>1</cdr:y>
    </cdr:to>
    <cdr:sp macro="" textlink="">
      <cdr:nvSpPr>
        <cdr:cNvPr id="3" name="ZoneTexte 2">
          <a:extLst xmlns:a="http://schemas.openxmlformats.org/drawingml/2006/main">
            <a:ext uri="{FF2B5EF4-FFF2-40B4-BE49-F238E27FC236}">
              <a16:creationId xmlns:a16="http://schemas.microsoft.com/office/drawing/2014/main" id="{D3A5CABB-04B3-4426-83AE-E662D303F387}"/>
            </a:ext>
          </a:extLst>
        </cdr:cNvPr>
        <cdr:cNvSpPr txBox="1"/>
      </cdr:nvSpPr>
      <cdr:spPr>
        <a:xfrm xmlns:a="http://schemas.openxmlformats.org/drawingml/2006/main" rot="16200000">
          <a:off x="-1628321" y="1745837"/>
          <a:ext cx="3943788" cy="4521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800" b="0" i="0" baseline="0">
              <a:solidFill>
                <a:schemeClr val="tx1">
                  <a:lumMod val="65000"/>
                  <a:lumOff val="35000"/>
                </a:schemeClr>
              </a:solidFill>
              <a:effectLst/>
              <a:latin typeface="+mn-lt"/>
              <a:ea typeface="+mn-ea"/>
              <a:cs typeface="+mn-cs"/>
            </a:rPr>
            <a:t>NaHCO3 saturation conc.  </a:t>
          </a:r>
          <a:r>
            <a:rPr lang="en-US" sz="1600" b="0" i="0" baseline="0">
              <a:solidFill>
                <a:schemeClr val="tx1">
                  <a:lumMod val="65000"/>
                  <a:lumOff val="35000"/>
                </a:schemeClr>
              </a:solidFill>
              <a:effectLst/>
              <a:latin typeface="+mn-lt"/>
              <a:ea typeface="+mn-ea"/>
              <a:cs typeface="+mn-cs"/>
            </a:rPr>
            <a:t>[mol/kg_H2O</a:t>
          </a:r>
          <a:r>
            <a:rPr lang="en-US" sz="1800" b="0" i="0" baseline="0">
              <a:solidFill>
                <a:schemeClr val="tx1">
                  <a:lumMod val="65000"/>
                  <a:lumOff val="35000"/>
                </a:schemeClr>
              </a:solidFill>
              <a:effectLst/>
              <a:latin typeface="+mn-lt"/>
              <a:ea typeface="+mn-ea"/>
              <a:cs typeface="+mn-cs"/>
            </a:rPr>
            <a:t>]</a:t>
          </a:r>
          <a:endParaRPr lang="en-US" sz="1800">
            <a:solidFill>
              <a:schemeClr val="tx1">
                <a:lumMod val="65000"/>
                <a:lumOff val="35000"/>
              </a:schemeClr>
            </a:solidFill>
            <a:effectLst/>
          </a:endParaRPr>
        </a:p>
        <a:p xmlns:a="http://schemas.openxmlformats.org/drawingml/2006/main">
          <a:pPr algn="ctr"/>
          <a:endParaRPr lang="en-US" sz="1800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571106</xdr:colOff>
      <xdr:row>57</xdr:row>
      <xdr:rowOff>25311</xdr:rowOff>
    </xdr:from>
    <xdr:to>
      <xdr:col>12</xdr:col>
      <xdr:colOff>89723</xdr:colOff>
      <xdr:row>73</xdr:row>
      <xdr:rowOff>122549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6A9DFC57-18E0-4957-8613-67E131962E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27654" y="10839448"/>
          <a:ext cx="6773274" cy="310348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1022374</xdr:colOff>
      <xdr:row>42</xdr:row>
      <xdr:rowOff>117841</xdr:rowOff>
    </xdr:from>
    <xdr:to>
      <xdr:col>9</xdr:col>
      <xdr:colOff>992273</xdr:colOff>
      <xdr:row>57</xdr:row>
      <xdr:rowOff>10427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3B62EA71-4BCB-4881-9DCC-A5E3489D12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94663" y="7866371"/>
          <a:ext cx="5946550" cy="264680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784860</xdr:colOff>
      <xdr:row>42</xdr:row>
      <xdr:rowOff>52704</xdr:rowOff>
    </xdr:from>
    <xdr:to>
      <xdr:col>12</xdr:col>
      <xdr:colOff>663841</xdr:colOff>
      <xdr:row>57</xdr:row>
      <xdr:rowOff>114708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959274A1-2DC3-49A1-B157-8B1AEF64BC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16140" y="7947024"/>
          <a:ext cx="6195961" cy="2805204"/>
        </a:xfrm>
        <a:prstGeom prst="rect">
          <a:avLst/>
        </a:prstGeom>
      </xdr:spPr>
    </xdr:pic>
    <xdr:clientData/>
  </xdr:twoCellAnchor>
  <xdr:twoCellAnchor editAs="oneCell">
    <xdr:from>
      <xdr:col>12</xdr:col>
      <xdr:colOff>645160</xdr:colOff>
      <xdr:row>0</xdr:row>
      <xdr:rowOff>101174</xdr:rowOff>
    </xdr:from>
    <xdr:to>
      <xdr:col>17</xdr:col>
      <xdr:colOff>40640</xdr:colOff>
      <xdr:row>11</xdr:row>
      <xdr:rowOff>66984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CBFFEAF5-06A2-4732-A722-EC2967BE2B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324840" y="101174"/>
          <a:ext cx="3307080" cy="1997810"/>
        </a:xfrm>
        <a:prstGeom prst="rect">
          <a:avLst/>
        </a:prstGeom>
      </xdr:spPr>
    </xdr:pic>
    <xdr:clientData/>
  </xdr:twoCellAnchor>
  <xdr:twoCellAnchor editAs="oneCell">
    <xdr:from>
      <xdr:col>9</xdr:col>
      <xdr:colOff>296574</xdr:colOff>
      <xdr:row>0</xdr:row>
      <xdr:rowOff>77893</xdr:rowOff>
    </xdr:from>
    <xdr:to>
      <xdr:col>12</xdr:col>
      <xdr:colOff>566376</xdr:colOff>
      <xdr:row>15</xdr:row>
      <xdr:rowOff>172720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3C1CD9C-1E41-4A3E-9932-3BF343E726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4931" b="5262"/>
        <a:stretch/>
      </xdr:blipFill>
      <xdr:spPr>
        <a:xfrm>
          <a:off x="9857134" y="77893"/>
          <a:ext cx="3388922" cy="285834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369495</xdr:colOff>
      <xdr:row>45</xdr:row>
      <xdr:rowOff>45720</xdr:rowOff>
    </xdr:from>
    <xdr:to>
      <xdr:col>13</xdr:col>
      <xdr:colOff>895</xdr:colOff>
      <xdr:row>60</xdr:row>
      <xdr:rowOff>76604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D08006C-EAF6-446E-922C-A2C7C93CE5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1215" y="7940040"/>
          <a:ext cx="6146500" cy="277408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718937</xdr:colOff>
      <xdr:row>16</xdr:row>
      <xdr:rowOff>34319</xdr:rowOff>
    </xdr:from>
    <xdr:to>
      <xdr:col>14</xdr:col>
      <xdr:colOff>259654</xdr:colOff>
      <xdr:row>30</xdr:row>
      <xdr:rowOff>90397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4E4E192-3C45-4067-BF9D-CCA866186D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36472" y="3020296"/>
          <a:ext cx="6026577" cy="266105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220980</xdr:colOff>
      <xdr:row>17</xdr:row>
      <xdr:rowOff>80010</xdr:rowOff>
    </xdr:from>
    <xdr:to>
      <xdr:col>14</xdr:col>
      <xdr:colOff>38100</xdr:colOff>
      <xdr:row>32</xdr:row>
      <xdr:rowOff>80010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3597E5A4-F393-4DB1-A66D-30D0991880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Béatrice Desclée De Maredsous" id="{B7B97E67-4C4B-4CC2-B53F-ED83E5F3129D}" userId="S::bdescleedema@oasis.uclouvain.be::c2a1eab5-8970-412b-966f-9a67fa491362" providerId="AD"/>
  <person displayName="Béatrice Desclée de Maredsous" id="{F3BF70A3-CA8F-4A6E-A6C7-23A6271D7FE9}" userId="S::beatrice.desclee@student.uclouvain.be::c2a1eab5-8970-412b-966f-9a67fa491362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104ECE8-2A30-4543-A29D-8A41032FD427}" name="Tableau1" displayName="Tableau1" ref="B1:F10" totalsRowShown="0" headerRowDxfId="6" dataDxfId="5">
  <autoFilter ref="B1:F10" xr:uid="{7AE6C0E3-338E-45DE-98EA-D67123C1550C}"/>
  <tableColumns count="5">
    <tableColumn id="1" xr3:uid="{26566161-678B-4A4D-AA73-D0022AB9CB9A}" name="T " dataDxfId="4"/>
    <tableColumn id="2" xr3:uid="{397EE6DA-B358-4164-9190-859C65D1B3C8}" name="[NaHCO3]sat (g/kgeau)" dataDxfId="3">
      <calculatedColumnFormula>Tableau1[[#This Row],[T ]]^2*0.006+Tableau1[[#This Row],[T ]]*1.2195+68.946</calculatedColumnFormula>
    </tableColumn>
    <tableColumn id="5" xr3:uid="{74C1333C-443B-4859-9A8C-0A8DBCF13ADF}" name="[NaHCO3]saturation mol/kg" dataDxfId="2">
      <calculatedColumnFormula>Tableau1[[#This Row],['[NaHCO3']sat (g/kgeau)]]/84</calculatedColumnFormula>
    </tableColumn>
    <tableColumn id="3" xr3:uid="{9EFD9175-3145-4BC1-B27A-50EE84B52CE9}" name="[NaHCO3]super (g/kgeau)2" dataDxfId="1">
      <calculatedColumnFormula>Tableau1[[#This Row],['[NaHCO3']sat (g/kgeau)]]*$D$15</calculatedColumnFormula>
    </tableColumn>
    <tableColumn id="4" xr3:uid="{492515FA-EFC2-478D-9E4C-D91563DF50BC}" name="[NaHCO3]supersatmol/kg" dataDxfId="0">
      <calculatedColumnFormula>Tableau1[[#This Row],['[NaHCO3']super (g/kgeau)2]]/84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5" dT="2021-04-26T10:09:26.53" personId="{B7B97E67-4C4B-4CC2-B53F-ED83E5F3129D}" id="{A09D1752-C5D4-4BEF-AAE7-F65CE9153E53}">
    <text>5 yr : doi : 10.2516/ogst/2013165
10 yr : 10.1016/j.desal.2011.12.026</text>
  </threadedComment>
  <threadedComment ref="A12" dT="2021-04-26T09:00:35.74" personId="{B7B97E67-4C4B-4CC2-B53F-ED83E5F3129D}" id="{B655A007-5604-4CBB-AD86-38E0AD4891F9}">
    <text>https://en.wikipedia.org/wiki/Premium_efficiency</text>
  </threadedComment>
  <threadedComment ref="A20" dT="2021-04-29T09:44:13.77" personId="{B7B97E67-4C4B-4CC2-B53F-ED83E5F3129D}" id="{3D168290-EEF7-4EF5-8151-A29643FF499E}">
    <text>[1] P. Yadav, N. Ismail, M. Essalhi, M. Tysklind, D. Athanassiadis, and N. Tavajohi, “Assessment of the environmental impact of polymeric membrane production,” J. Memb. Sci., vol. 622, no. September 2020, p. 118987, 2021, doi: 10.1016/j.memsci.2020.118987.</text>
  </threadedComment>
  <threadedComment ref="A25" dT="2021-05-15T13:14:56.64" personId="{B7B97E67-4C4B-4CC2-B53F-ED83E5F3129D}" id="{F2C7DD51-04B6-4DC4-9A89-D04C8C875715}">
    <text>2nd Edition
Ultrafiltration and Microfiltration Handbook
By Munir Cheryan</text>
  </threadedComment>
  <threadedComment ref="A25" dT="2021-05-15T13:15:11.42" personId="{B7B97E67-4C4B-4CC2-B53F-ED83E5F3129D}" id="{C7E9491B-B608-41BA-95C8-5249F1E06622}" parentId="{F2C7DD51-04B6-4DC4-9A89-D04C8C875715}">
    <text>efficiency : 0,5-0,85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K9" dT="2021-04-28T19:00:40.30" personId="{B7B97E67-4C4B-4CC2-B53F-ED83E5F3129D}" id="{3FCDE3DD-127C-43D5-8A80-FE8F3207C1F8}">
    <text>http://dx.doi.org/10.1016/j.egypro.2009.01.045</text>
  </threadedComment>
  <threadedComment ref="K11" dT="2021-07-12T10:56:45.61" personId="{F3BF70A3-CA8F-4A6E-A6C7-23A6271D7FE9}" id="{EB4DF04A-4190-4E6C-9691-106F976FCE57}">
    <text>to calculte the amount (kg) of solvent mixture leaving abso step</text>
  </threadedComment>
  <threadedComment ref="K11" dT="2021-07-12T10:56:56.71" personId="{F3BF70A3-CA8F-4A6E-A6C7-23A6271D7FE9}" id="{154D069E-7E27-480F-9109-2173D6B61A69}" parentId="{EB4DF04A-4190-4E6C-9691-106F976FCE57}">
    <text>cfi is correlated to cfi in MDC steps</text>
  </threadedComment>
  <threadedComment ref="D22" dT="2021-08-17T14:36:17.63" personId="{F3BF70A3-CA8F-4A6E-A6C7-23A6271D7FE9}" id="{C00A498F-26E0-42A6-B18C-5548E9645813}">
    <text>[1] R. Sander, “Compilation of Henry’s law constants (version 4.0) for water as solvent,” Atmos. Chem. Phys., vol. 15, no. 8, pp. 4399–4981, 2015, doi: 10.5194/acp-15-4399-2015.</text>
  </threadedComment>
  <threadedComment ref="A25" dT="2021-04-26T18:34:37.79" personId="{B7B97E67-4C4B-4CC2-B53F-ED83E5F3129D}" id="{928AD57E-AC7A-4693-9307-0826917DC5AE}">
    <text>log mean : Albo, J., Luis, P., &amp; Irabien, A. (2011). Absorption of coal combustion flue gases in ionic liquids using different membrane contactors. Desalination and Water Treatment, 27(1-3), 54–59. doi:10.5004/dwt.2011.2050</text>
  </threadedComment>
  <threadedComment ref="G31" dT="2021-07-12T09:17:46.53" personId="{F3BF70A3-CA8F-4A6E-A6C7-23A6271D7FE9}" id="{7593C00C-4B0B-4A04-AB8D-CAF0A7619C00}">
    <text>https://en.wikipedia.org/wiki/Sodium_carbonate</text>
  </threadedComment>
  <threadedComment ref="G32" dT="2021-07-12T09:17:57.01" personId="{F3BF70A3-CA8F-4A6E-A6C7-23A6271D7FE9}" id="{F0DDB304-EEEF-47E3-BA5F-A5D502BEF697}">
    <text>https://www.sigmaaldrich.com/BE/en/product/mm/101543</text>
  </threadedComment>
  <threadedComment ref="G33" dT="2021-07-12T09:19:27.69" personId="{F3BF70A3-CA8F-4A6E-A6C7-23A6271D7FE9}" id="{F3C16050-3982-4734-B12D-BDCC732D849C}">
    <text>https://en.wikipedia.org/wiki/Sarcosine</text>
  </threadedComment>
  <threadedComment ref="G35" dT="2021-07-12T09:36:59.14" personId="{F3BF70A3-CA8F-4A6E-A6C7-23A6271D7FE9}" id="{FA35FCD0-A146-45BE-8886-5789F3616D06}">
    <text>density of a mixture by average the densities of the components
http://pillars.che.pitt.edu/student/slide.cgi?course_id=12&amp;slide_id=63.0</text>
  </threadedComment>
  <threadedComment ref="D38" dT="2021-04-22T10:14:05.23" personId="{B7B97E67-4C4B-4CC2-B53F-ED83E5F3129D}" id="{79E48990-3272-4C44-98E5-53702B6573A8}">
    <text>CO 2 capture and crystallization as sodium carbonate using membrane contactors (p34)
Ruiz Salmón, Israel
2018</text>
  </threadedComment>
  <threadedComment ref="A41" dT="2021-04-28T12:15:42.40" personId="{B7B97E67-4C4B-4CC2-B53F-ED83E5F3129D}" id="{552671D8-1E52-4990-ACFF-6A91E76D58D5}">
    <text>Vida mail 28/04 : 4- 5 experiment around 4 to 7 g of the CaCl is changed.</text>
  </threadedComment>
  <threadedComment ref="A41" dT="2021-04-28T12:16:58.68" personId="{B7B97E67-4C4B-4CC2-B53F-ED83E5F3129D}" id="{85E6D318-C630-476E-A3CD-154D50F4825D}" parentId="{552671D8-1E52-4990-ACFF-6A91E76D58D5}">
    <text>total hr : 5,5*8=36
mean mass changed in 36hr : 5,5g
for 0,18m² Am</text>
  </threadedComment>
  <threadedComment ref="A44" dT="2021-04-22T09:25:46.38" personId="{B7B97E67-4C4B-4CC2-B53F-ED83E5F3129D}" id="{417DD987-F01E-46D0-9570-9009609439F4}">
    <text>Brooks instrument 
GF40/GF80</text>
  </threadedComment>
  <threadedComment ref="A45" dT="2021-04-22T09:24:10.11" personId="{B7B97E67-4C4B-4CC2-B53F-ED83E5F3129D}" id="{FE5EAE22-897B-4B8E-B2C1-0357051F20CC}">
    <text>Peristaltic Pumps - 
Model: BT00300T, Basic Peristaltic Pump, 0.005 to 1140mL/min</text>
  </threadedComment>
  <threadedComment ref="A45" dT="2021-05-05T14:48:16.57" personId="{B7B97E67-4C4B-4CC2-B53F-ED83E5F3129D}" id="{7C37D48B-51F2-4C29-ABA9-2BB5D6E95CAF}" parentId="{FE5EAE22-897B-4B8E-B2C1-0357051F20CC}">
    <text>https://www.chromalytic.com.au/pdf2/MC09_Laboratory09_37-39.pdf</text>
  </threadedComment>
  <threadedComment ref="A45" dT="2021-07-05T11:25:45.65" personId="{F3BF70A3-CA8F-4A6E-A6C7-23A6271D7FE9}" id="{99DCB684-9758-41A2-8B6D-4CA27EECAC44}" parentId="{FE5EAE22-897B-4B8E-B2C1-0357051F20CC}">
    <text>22W up to 1140 mL/min = 68 L/h</text>
  </threadedComment>
  <threadedComment ref="A46" dT="2021-05-15T13:27:17.64" personId="{B7B97E67-4C4B-4CC2-B53F-ED83E5F3129D}" id="{A50073F4-BB7D-41C0-86E2-22852C4D223B}">
    <text>2nd Edition
Ultrafiltration and Microfiltration Handbook
By Munir Cheryan</text>
  </threadedComment>
  <threadedComment ref="A47" dT="2021-04-22T09:30:45.91" personId="{B7B97E67-4C4B-4CC2-B53F-ED83E5F3129D}" id="{AF1FAC28-3CB3-4570-AC8F-F68A0A2156F6}">
    <text>Emerson : 
X-STREAM Enhanced
XEGK - Compact Gas Analyzer</text>
  </threadedComment>
  <threadedComment ref="A48" dT="2021-04-22T09:31:58.95" personId="{B7B97E67-4C4B-4CC2-B53F-ED83E5F3129D}" id="{67AEB212-4639-471B-BF24-277F71A00D92}">
    <text>Brooks instrument 
0250 Series</text>
  </threadedComment>
  <threadedComment ref="A50" dT="2021-04-22T10:15:43.17" personId="{B7B97E67-4C4B-4CC2-B53F-ED83E5F3129D}" id="{70EF3535-A803-468C-8362-31639FD4D685}">
    <text>https://glasatelier-saillart.be/fr/glazen-reactoren-en-reactievaten-met-flensdeksels/elektrische-bovenroerders/</text>
  </threadedComment>
  <threadedComment ref="A51" dT="2021-05-15T11:16:06.96" personId="{B7B97E67-4C4B-4CC2-B53F-ED83E5F3129D}" id="{08E549EB-664E-4031-82C8-B79AD3132BF2}">
    <text>http://www.frankberg.nl/drum-agitators-mixers.html 
https://www.machinery-ly.com/sanitary-stirring-tank-for-liquid-mixing-and-stirring-no-electric-heating</text>
  </threadedComment>
  <threadedComment ref="A60" dT="2021-05-17T14:38:55.13" personId="{B7B97E67-4C4B-4CC2-B53F-ED83E5F3129D}" id="{20F40533-3278-495B-9018-0EE0567C95D6}">
    <text>https://pubchem.ncbi.nlm.nih.gov/compound/Sodium-carbonate-heptahydrate</text>
  </threadedComment>
  <threadedComment ref="A64" dT="2021-05-17T14:38:55.13" personId="{B7B97E67-4C4B-4CC2-B53F-ED83E5F3129D}" id="{3871A033-4747-412B-BF2D-9EB553BB038F}">
    <text>https://pubchem.ncbi.nlm.nih.gov/compound/Sodium-carbonate-heptahydrate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J4" dT="2021-04-23T07:54:12.66" personId="{B7B97E67-4C4B-4CC2-B53F-ED83E5F3129D}" id="{05EE5834-E002-41B1-A408-16623E8E75F4}">
    <text>mail Vida 26/03$</text>
  </threadedComment>
  <threadedComment ref="A37" dT="2021-04-23T09:15:45.82" personId="{B7B97E67-4C4B-4CC2-B53F-ED83E5F3129D}" id="{DF644E1F-0E68-4154-A826-CC1396E2BA2F}">
    <text>Vapour pressure Antoine equation 
10.1016/j.ijheatmasstransfer.2002.09.001</text>
  </threadedComment>
  <threadedComment ref="A60" dT="2021-04-28T08:56:23.05" personId="{B7B97E67-4C4B-4CC2-B53F-ED83E5F3129D}" id="{4BFC8372-0E1A-4828-83DB-00B3B054BD1E}">
    <text>10.1111/j.1530-9290.2010.00293.x
https://www.lenntech.fr/processes/brine-treatment.htm#ro</text>
  </threadedComment>
  <threadedComment ref="A60" dT="2021-05-17T12:31:09.47" personId="{B7B97E67-4C4B-4CC2-B53F-ED83E5F3129D}" id="{CDB8262B-C2CA-4FB2-9F1D-404A6063CEAC}" parentId="{4BFC8372-0E1A-4828-83DB-00B3B054BD1E}">
    <text>Brine disposal from petroleum extraction - produced water 
https://www.ag.ndsu.edu/publications/environment-natural-resources/environmental-impacts-of-brine-produced-water
salinity ok : https://water.usgs.gov/orh/nrwww/Otten.pdf
compo : http://aqwatec.mines.edu/produced_water/intro/pw/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C9" dT="2021-06-08T12:48:54.38" personId="{F3BF70A3-CA8F-4A6E-A6C7-23A6271D7FE9}" id="{12F0512C-9632-42C1-9F2E-763738BE4990}">
    <text>consider Kov of 05M ARG with 1M or 1,1M similar (not vary a lot)</text>
  </threadedComment>
  <threadedComment ref="C10" dT="2021-06-12T20:04:52.66" personId="{F3BF70A3-CA8F-4A6E-A6C7-23A6271D7FE9}" id="{64DDB028-B81B-43DF-B5E8-0751B5E8D47C}">
    <text>Kov for OMD with 1M naHCO3 and no AA</text>
  </threadedComment>
  <threadedComment ref="D10" dT="2021-06-22T15:10:35.70" personId="{F3BF70A3-CA8F-4A6E-A6C7-23A6271D7FE9}" id="{5A2BB316-1AD5-4CA1-93A8-8A0C94AA33A1}">
    <text>Kov for 0,6M of NaHCo3 with no AA</text>
  </threadedComment>
  <threadedComment ref="F10" dT="2021-07-14T19:18:55.04" personId="{F3BF70A3-CA8F-4A6E-A6C7-23A6271D7FE9}" id="{0D61B4F4-4179-4A36-8DE3-DBAF50F04AFE}">
    <text>Kov for 1M NaHCO3 without AA</text>
  </threadedComment>
  <threadedComment ref="G10" dT="2021-07-14T19:18:55.04" personId="{F3BF70A3-CA8F-4A6E-A6C7-23A6271D7FE9}" id="{68B68734-FCF5-4060-9680-38479E5A9CC9}">
    <text>Kov for 1M NaHCO3 without AA</text>
  </threadedComment>
  <threadedComment ref="E25" dT="2021-06-08T12:40:46.16" personId="{F3BF70A3-CA8F-4A6E-A6C7-23A6271D7FE9}" id="{217435A8-A6B6-4101-AEA9-1B3DEB078004}">
    <text>Kov from vida for 0,8 M but without ARG * percentage to go from no AA  but with NaHCO3 to with AA</text>
  </threadedComment>
</ThreadedComments>
</file>

<file path=xl/threadedComments/threadedComment5.xml><?xml version="1.0" encoding="utf-8"?>
<ThreadedComments xmlns="http://schemas.microsoft.com/office/spreadsheetml/2018/threadedcomments" xmlns:x="http://schemas.openxmlformats.org/spreadsheetml/2006/main">
  <threadedComment ref="A5" dT="2021-05-16T11:07:56.76" personId="{B7B97E67-4C4B-4CC2-B53F-ED83E5F3129D}" id="{5A5ACAC3-CD79-4FE6-A9E7-1AD2A44EB5A3}">
    <text>DeltaH_vap * Z = Qpin * cp * (Tpout - Tpin)</text>
  </threadedComment>
  <threadedComment ref="A19" dT="2021-05-15T20:49:09.54" personId="{B7B97E67-4C4B-4CC2-B53F-ED83E5F3129D}" id="{0FEEA1D7-7873-4B49-A607-4409A4FD0622}">
    <text>Mail MC 19/03
Tfout ~ 19°C, Tpout ~ 27 °C avec Qf 400 mL/min DCMD</text>
  </threadedComment>
  <threadedComment ref="P27" dT="2021-08-05T13:33:37.43" personId="{F3BF70A3-CA8F-4A6E-A6C7-23A6271D7FE9}" id="{2B7F38B1-D369-4D6B-A689-018F18507D5A}">
    <text>from MC paper</text>
  </threadedComment>
  <threadedComment ref="P42" dT="2021-08-05T13:33:44.93" personId="{F3BF70A3-CA8F-4A6E-A6C7-23A6271D7FE9}" id="{F0BE9C8C-7A1B-494F-AE96-7A6D4629BB2C}">
    <text>from MC paper</text>
  </threadedComment>
  <threadedComment ref="A45" dT="2021-04-22T09:39:25.27" personId="{B7B97E67-4C4B-4CC2-B53F-ED83E5F3129D}" id="{DA45315F-1A06-4036-A28C-70C3D8138D03}">
    <text>see ABSO</text>
  </threadedComment>
</ThreadedComments>
</file>

<file path=xl/threadedComments/threadedComment6.xml><?xml version="1.0" encoding="utf-8"?>
<ThreadedComments xmlns="http://schemas.microsoft.com/office/spreadsheetml/2018/threadedcomments" xmlns:x="http://schemas.openxmlformats.org/spreadsheetml/2006/main">
  <threadedComment ref="C8" dT="2021-06-09T08:10:55.17" personId="{F3BF70A3-CA8F-4A6E-A6C7-23A6271D7FE9}" id="{AA24AE1F-9C7C-4CB4-9077-7B3BDA17C39F}">
    <text>Kov for DCMD with only 84g/kg NaHCO3 and no AA.</text>
  </threadedComment>
  <threadedComment ref="D8" dT="2021-07-09T13:26:18.71" personId="{F3BF70A3-CA8F-4A6E-A6C7-23A6271D7FE9}" id="{2D989ACE-0D3D-4817-8FA5-0A48EC1FE0EB}">
    <text>DCMD : MC document with no AA and +- 50 gNaHCO3/kgH2O.</text>
  </threadedComment>
  <threadedComment ref="N8" dT="2021-08-05T08:07:02.50" personId="{F3BF70A3-CA8F-4A6E-A6C7-23A6271D7FE9}" id="{0794C89B-4635-48CE-B707-E53B84137234}">
    <text>MC experiences: Kov for DCMD with no AA and 1,25M of NaHCO3</text>
  </threadedComment>
</ThreadedComments>
</file>

<file path=xl/threadedComments/threadedComment7.xml><?xml version="1.0" encoding="utf-8"?>
<ThreadedComments xmlns="http://schemas.microsoft.com/office/spreadsheetml/2018/threadedcomments" xmlns:x="http://schemas.openxmlformats.org/spreadsheetml/2006/main">
  <threadedComment ref="A46" dT="2021-04-22T09:39:25.27" personId="{B7B97E67-4C4B-4CC2-B53F-ED83E5F3129D}" id="{7286EA03-F81C-414C-987E-3C2B96B991A5}">
    <text>see ABSO</text>
  </threadedComment>
  <threadedComment ref="A50" dT="2021-04-22T09:43:21.99" personId="{B7B97E67-4C4B-4CC2-B53F-ED83E5F3129D}" id="{6B0AD519-0EB0-49D1-973D-8A9850C85807}">
    <text>VacuumBrand
models : ME 4R NT
https://www.vacuubrand.com/fr/page804.html</text>
  </threadedComment>
  <threadedComment ref="A50" dT="2021-05-15T19:25:25.47" personId="{B7B97E67-4C4B-4CC2-B53F-ED83E5F3129D}" id="{A89CB837-2C8F-4F26-A42C-B36B48758772}" parentId="{6B0AD519-0EB0-49D1-973D-8A9850C85807}">
    <text>Meilleure vacuum pompe pour le flowrate : https://www.vacuubrand.com/fr/page994.html#comparison</text>
  </threadedComment>
  <threadedComment ref="A54" dT="2021-05-18T09:35:23.94" personId="{B7B97E67-4C4B-4CC2-B53F-ED83E5F3129D}" id="{58E9797B-2C4A-44EB-94A1-E76C2A165A34}">
    <text>qv = Pp*V
qv =J/s
Pp=Pa vacuum pressure
V=m³/s
10.1016/j.cep.2013.10.002</text>
  </threadedComment>
</ThreadedComments>
</file>

<file path=xl/threadedComments/threadedComment8.xml><?xml version="1.0" encoding="utf-8"?>
<ThreadedComments xmlns="http://schemas.microsoft.com/office/spreadsheetml/2018/threadedcomments" xmlns:x="http://schemas.openxmlformats.org/spreadsheetml/2006/main">
  <threadedComment ref="C8" dT="2021-07-09T13:58:11.85" personId="{F3BF70A3-CA8F-4A6E-A6C7-23A6271D7FE9}" id="{1269C6A6-6790-497D-A172-69196A64FCD4}">
    <text>VMD mc with no AA and 50 g NaHCO3/kgH2O</text>
  </threadedComment>
  <threadedComment ref="D24" dT="2021-08-05T08:21:09.65" personId="{F3BF70A3-CA8F-4A6E-A6C7-23A6271D7FE9}" id="{D7355772-8F93-4B0B-B9CD-5D99EDCAEA0D}">
    <text>MC experiences : Kov of VMD for different NaHCO3 concentration is almost constant.</text>
  </threadedComment>
</ThreadedComments>
</file>

<file path=xl/threadedComments/threadedComment9.xml><?xml version="1.0" encoding="utf-8"?>
<ThreadedComments xmlns="http://schemas.microsoft.com/office/spreadsheetml/2018/threadedcomments" xmlns:x="http://schemas.openxmlformats.org/spreadsheetml/2006/main">
  <threadedComment ref="A6" dT="2021-04-22T09:48:52.39" personId="{B7B97E67-4C4B-4CC2-B53F-ED83E5F3129D}" id="{F29E17AD-3521-48E4-93D7-D76ADC7D8250}">
    <text>https://glasatelier-saillart.be/fr/glazen-reactoren-en-reactievaten-met-flensdeksels/elektrische-bovenroerders/</text>
  </threadedComment>
  <threadedComment ref="A7" dT="2021-04-22T09:45:00.14" personId="{B7B97E67-4C4B-4CC2-B53F-ED83E5F3129D}" id="{0CABD1FD-DADF-4A85-BB1A-71109DD940B6}">
    <text>see ABSO</text>
  </threadedComment>
  <threadedComment ref="A8" dT="2021-04-22T09:37:29.13" personId="{B7B97E67-4C4B-4CC2-B53F-ED83E5F3129D}" id="{CFA02AC4-E740-491D-A76D-8429F9AB515C}">
    <text>ScrollDecanter_Laboratory decanter - Lemitec Decanter centrifuge MD 60_files
http://www.lemitec.com/en/products/md60.php</text>
  </threadedComment>
  <threadedComment ref="A8" dT="2021-05-24T14:23:37.04" personId="{F3BF70A3-CA8F-4A6E-A6C7-23A6271D7FE9}" id="{2EC0E5E3-F7DA-41AF-9208-08450A419C95}" parentId="{CFA02AC4-E740-491D-A76D-8429F9AB515C}">
    <text>@book{tarleton2006solid,
  title={Solid/liquid separation: equipment selection and process design},
  author={Tarleton, Steve and Wakeman, Richard},
  year={2006},
  publisher={Elsevier}
}</text>
  </threadedComment>
  <threadedComment ref="A9" dT="2021-04-22T09:45:44.00" personId="{B7B97E67-4C4B-4CC2-B53F-ED83E5F3129D}" id="{4CE7C409-C536-42C9-A17E-1AC3B0DD4BC9}">
    <text>BHS filter : BHS Rotary Pressure Filter 
https://www.bhs-filtration.com/products/rotary-pressure-filter/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6.bin"/><Relationship Id="rId4" Type="http://schemas.microsoft.com/office/2017/10/relationships/threadedComment" Target="../threadedComments/threadedComment8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drawing" Target="../drawings/drawing7.xml"/><Relationship Id="rId4" Type="http://schemas.microsoft.com/office/2017/10/relationships/threadedComment" Target="../threadedComments/threadedComment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2.xml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4.xml"/><Relationship Id="rId4" Type="http://schemas.microsoft.com/office/2017/10/relationships/threadedComment" Target="../threadedComments/threadedComment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microsoft.com/office/2017/10/relationships/threadedComment" Target="../threadedComments/threadedComment5.xml"/><Relationship Id="rId4" Type="http://schemas.openxmlformats.org/officeDocument/2006/relationships/comments" Target="../comments5.xml"/></Relationships>
</file>

<file path=xl/worksheets/_rels/sheet8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6.xml"/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6.xml"/><Relationship Id="rId4" Type="http://schemas.microsoft.com/office/2017/10/relationships/threadedComment" Target="../threadedComments/threadedComment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1A3C9-B17A-4F41-985D-C9F8CD65330B}">
  <sheetPr codeName="Feuil2"/>
  <dimension ref="A5:D32"/>
  <sheetViews>
    <sheetView topLeftCell="A4" zoomScale="79" workbookViewId="0">
      <selection activeCell="A23" sqref="A23"/>
    </sheetView>
  </sheetViews>
  <sheetFormatPr baseColWidth="10" defaultColWidth="11.44140625" defaultRowHeight="14.4" x14ac:dyDescent="0.3"/>
  <cols>
    <col min="1" max="1" width="24.6640625" bestFit="1" customWidth="1"/>
  </cols>
  <sheetData>
    <row r="5" spans="1:3" x14ac:dyDescent="0.3">
      <c r="A5" s="1" t="s">
        <v>0</v>
      </c>
      <c r="B5" s="21">
        <v>5</v>
      </c>
      <c r="C5" t="s">
        <v>1</v>
      </c>
    </row>
    <row r="6" spans="1:3" x14ac:dyDescent="0.3">
      <c r="A6" t="s">
        <v>2</v>
      </c>
      <c r="B6">
        <v>24</v>
      </c>
    </row>
    <row r="7" spans="1:3" x14ac:dyDescent="0.3">
      <c r="A7" t="s">
        <v>3</v>
      </c>
      <c r="B7">
        <v>365</v>
      </c>
    </row>
    <row r="8" spans="1:3" ht="28.8" x14ac:dyDescent="0.3">
      <c r="A8" s="45" t="s">
        <v>4</v>
      </c>
      <c r="B8" s="2">
        <f>B6*B7*B5</f>
        <v>43800</v>
      </c>
    </row>
    <row r="12" spans="1:3" x14ac:dyDescent="0.3">
      <c r="A12" s="1" t="s">
        <v>5</v>
      </c>
      <c r="B12" s="46">
        <v>0.8</v>
      </c>
    </row>
    <row r="13" spans="1:3" x14ac:dyDescent="0.3">
      <c r="A13" t="s">
        <v>6</v>
      </c>
      <c r="B13" s="47">
        <f>1/B12</f>
        <v>1.25</v>
      </c>
    </row>
    <row r="16" spans="1:3" x14ac:dyDescent="0.3">
      <c r="A16" s="1" t="s">
        <v>7</v>
      </c>
    </row>
    <row r="17" spans="1:4" x14ac:dyDescent="0.3">
      <c r="A17" t="s">
        <v>8</v>
      </c>
      <c r="B17">
        <v>150</v>
      </c>
    </row>
    <row r="18" spans="1:4" x14ac:dyDescent="0.3">
      <c r="A18" t="s">
        <v>9</v>
      </c>
      <c r="B18">
        <v>120</v>
      </c>
    </row>
    <row r="20" spans="1:4" x14ac:dyDescent="0.3">
      <c r="A20" s="1" t="s">
        <v>10</v>
      </c>
    </row>
    <row r="22" spans="1:4" x14ac:dyDescent="0.3">
      <c r="A22" s="1" t="s">
        <v>11</v>
      </c>
      <c r="B22" s="168">
        <v>0.99</v>
      </c>
    </row>
    <row r="25" spans="1:4" x14ac:dyDescent="0.3">
      <c r="A25" s="1" t="s">
        <v>12</v>
      </c>
      <c r="B25">
        <v>0.5</v>
      </c>
    </row>
    <row r="29" spans="1:4" x14ac:dyDescent="0.3">
      <c r="A29" s="22"/>
    </row>
    <row r="30" spans="1:4" x14ac:dyDescent="0.3">
      <c r="A30" s="1"/>
    </row>
    <row r="31" spans="1:4" x14ac:dyDescent="0.3">
      <c r="D31" s="6"/>
    </row>
    <row r="32" spans="1:4" x14ac:dyDescent="0.3">
      <c r="D32" s="6"/>
    </row>
  </sheetData>
  <pageMargins left="0.7" right="0.7" top="0.75" bottom="0.75" header="0.3" footer="0.3"/>
  <pageSetup paperSize="9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97EA2-C6CE-438C-8B2B-7F838896360C}">
  <dimension ref="A1:S32"/>
  <sheetViews>
    <sheetView zoomScale="72" workbookViewId="0">
      <pane ySplit="1" topLeftCell="A2" activePane="bottomLeft" state="frozen"/>
      <selection pane="bottomLeft" activeCell="C1" sqref="C1"/>
    </sheetView>
  </sheetViews>
  <sheetFormatPr baseColWidth="10" defaultColWidth="11.44140625" defaultRowHeight="14.4" x14ac:dyDescent="0.3"/>
  <cols>
    <col min="2" max="2" width="15.109375" bestFit="1" customWidth="1"/>
    <col min="4" max="4" width="11.44140625" style="1"/>
    <col min="17" max="17" width="11.5546875" style="1"/>
  </cols>
  <sheetData>
    <row r="1" spans="1:19" x14ac:dyDescent="0.3">
      <c r="C1" s="3"/>
    </row>
    <row r="2" spans="1:19" x14ac:dyDescent="0.3">
      <c r="C2" s="145"/>
      <c r="D2" s="22"/>
      <c r="E2" s="155"/>
      <c r="F2" s="155"/>
      <c r="G2" s="155"/>
      <c r="H2" s="155"/>
    </row>
    <row r="3" spans="1:19" x14ac:dyDescent="0.3">
      <c r="A3" s="96"/>
      <c r="B3" s="51" t="s">
        <v>323</v>
      </c>
      <c r="C3" s="146">
        <v>92</v>
      </c>
      <c r="D3" s="22">
        <v>0.64</v>
      </c>
      <c r="E3" s="155">
        <v>0.64</v>
      </c>
      <c r="F3" s="155">
        <v>0.64</v>
      </c>
      <c r="G3" s="155">
        <v>0.64</v>
      </c>
      <c r="H3" s="155">
        <v>0.89</v>
      </c>
      <c r="I3" s="181">
        <v>0.89</v>
      </c>
      <c r="K3" s="155">
        <v>0.64</v>
      </c>
      <c r="L3" s="155">
        <v>0.64</v>
      </c>
      <c r="M3" s="155">
        <v>0.64</v>
      </c>
      <c r="N3" s="155">
        <v>1.26</v>
      </c>
      <c r="O3" s="155">
        <v>1.26</v>
      </c>
      <c r="Q3" s="22">
        <v>1.26</v>
      </c>
    </row>
    <row r="4" spans="1:19" x14ac:dyDescent="0.3">
      <c r="A4" s="97" t="s">
        <v>244</v>
      </c>
      <c r="B4" s="51" t="s">
        <v>245</v>
      </c>
      <c r="C4" s="147">
        <v>187.82</v>
      </c>
      <c r="D4" s="22">
        <v>1.47</v>
      </c>
      <c r="E4" s="155">
        <v>1.39</v>
      </c>
      <c r="F4" s="155">
        <v>1.31</v>
      </c>
      <c r="G4" s="155"/>
      <c r="H4" s="155">
        <v>1.47</v>
      </c>
      <c r="I4" s="155">
        <v>1.31</v>
      </c>
      <c r="K4" s="155">
        <v>1.61</v>
      </c>
      <c r="L4" s="155">
        <v>1.91</v>
      </c>
      <c r="M4" s="155">
        <v>2.2000000000000002</v>
      </c>
      <c r="N4" s="155">
        <v>1.91</v>
      </c>
      <c r="O4" s="155">
        <v>2.2000000000000002</v>
      </c>
      <c r="Q4" s="22">
        <v>1.31</v>
      </c>
    </row>
    <row r="5" spans="1:19" x14ac:dyDescent="0.3">
      <c r="A5" s="239"/>
      <c r="B5" s="51" t="s">
        <v>246</v>
      </c>
      <c r="C5" s="147">
        <v>0</v>
      </c>
      <c r="D5" s="22"/>
      <c r="E5" s="155"/>
      <c r="F5" s="155"/>
      <c r="G5" s="155"/>
      <c r="H5" s="155"/>
      <c r="K5" s="46">
        <v>1.1000000000000001</v>
      </c>
      <c r="L5" s="46">
        <v>1.3</v>
      </c>
      <c r="M5" s="46">
        <v>1.5</v>
      </c>
      <c r="N5" s="46">
        <v>1.3</v>
      </c>
      <c r="O5" s="46">
        <v>1.5</v>
      </c>
      <c r="Q5" s="201">
        <v>1</v>
      </c>
    </row>
    <row r="6" spans="1:19" x14ac:dyDescent="0.3">
      <c r="A6" s="239"/>
      <c r="B6" s="51" t="s">
        <v>247</v>
      </c>
      <c r="C6" s="146">
        <v>0</v>
      </c>
      <c r="D6" s="22"/>
      <c r="E6" s="155"/>
      <c r="F6" s="155"/>
      <c r="G6" s="155"/>
      <c r="H6" s="155"/>
    </row>
    <row r="7" spans="1:19" x14ac:dyDescent="0.3">
      <c r="A7" s="239"/>
      <c r="B7" s="40"/>
      <c r="C7" s="146"/>
      <c r="D7" s="22"/>
      <c r="E7" s="155"/>
      <c r="F7" s="155"/>
      <c r="G7" s="155"/>
      <c r="H7" s="155"/>
    </row>
    <row r="8" spans="1:19" x14ac:dyDescent="0.3">
      <c r="A8" s="239"/>
      <c r="B8" s="51" t="s">
        <v>324</v>
      </c>
      <c r="C8" s="148">
        <v>4.8000000000000002E-11</v>
      </c>
      <c r="D8" s="22"/>
      <c r="E8" s="155"/>
      <c r="F8" s="155"/>
      <c r="G8" s="155"/>
      <c r="H8" s="155"/>
    </row>
    <row r="9" spans="1:19" x14ac:dyDescent="0.3">
      <c r="A9" s="40"/>
      <c r="C9" s="146"/>
      <c r="D9" s="22"/>
      <c r="E9" s="155"/>
      <c r="F9" s="155"/>
      <c r="G9" s="155"/>
      <c r="H9" s="155"/>
    </row>
    <row r="10" spans="1:19" x14ac:dyDescent="0.3">
      <c r="A10" s="40"/>
      <c r="B10" s="51" t="s">
        <v>249</v>
      </c>
      <c r="C10" s="146"/>
      <c r="D10" s="22"/>
      <c r="E10" s="155"/>
      <c r="F10" s="155"/>
      <c r="G10" s="155"/>
      <c r="H10" s="155"/>
    </row>
    <row r="11" spans="1:19" x14ac:dyDescent="0.3">
      <c r="A11" s="40"/>
      <c r="B11" s="40"/>
      <c r="C11" s="146"/>
      <c r="D11" s="22"/>
      <c r="E11" s="155"/>
      <c r="F11" s="155"/>
      <c r="G11" s="155"/>
      <c r="H11" s="155"/>
    </row>
    <row r="12" spans="1:19" x14ac:dyDescent="0.3">
      <c r="A12" s="40"/>
      <c r="B12" s="52" t="s">
        <v>377</v>
      </c>
      <c r="C12" s="138"/>
      <c r="D12" s="77" t="s">
        <v>378</v>
      </c>
      <c r="E12" s="156" t="s">
        <v>379</v>
      </c>
      <c r="F12" s="156" t="s">
        <v>380</v>
      </c>
      <c r="G12" s="156" t="s">
        <v>381</v>
      </c>
      <c r="H12" s="156"/>
      <c r="I12" s="156" t="s">
        <v>382</v>
      </c>
      <c r="K12" s="156" t="s">
        <v>383</v>
      </c>
      <c r="L12" s="156" t="s">
        <v>384</v>
      </c>
      <c r="M12" s="156" t="s">
        <v>385</v>
      </c>
      <c r="N12" s="156" t="s">
        <v>386</v>
      </c>
      <c r="O12" s="156" t="s">
        <v>387</v>
      </c>
      <c r="Q12" s="77" t="s">
        <v>388</v>
      </c>
    </row>
    <row r="13" spans="1:19" x14ac:dyDescent="0.3">
      <c r="A13" s="40"/>
      <c r="B13" s="51" t="s">
        <v>338</v>
      </c>
      <c r="C13" s="138"/>
      <c r="D13" s="22">
        <v>82</v>
      </c>
      <c r="E13" s="155">
        <v>82</v>
      </c>
      <c r="F13" s="155">
        <v>82</v>
      </c>
      <c r="G13" s="155">
        <v>82</v>
      </c>
      <c r="H13" s="155">
        <v>55</v>
      </c>
      <c r="I13" t="s">
        <v>389</v>
      </c>
      <c r="K13" s="155">
        <v>82</v>
      </c>
      <c r="L13" s="155">
        <v>82</v>
      </c>
      <c r="M13" s="155">
        <v>82</v>
      </c>
      <c r="N13" s="155">
        <v>42</v>
      </c>
      <c r="O13" s="155">
        <v>42</v>
      </c>
      <c r="Q13" s="22">
        <v>42</v>
      </c>
    </row>
    <row r="14" spans="1:19" x14ac:dyDescent="0.3">
      <c r="A14" s="40"/>
      <c r="B14" s="51" t="s">
        <v>261</v>
      </c>
      <c r="C14" s="154"/>
      <c r="D14" s="186">
        <v>0.5</v>
      </c>
      <c r="E14" s="158">
        <v>0.5</v>
      </c>
      <c r="F14" s="158">
        <v>0.5</v>
      </c>
      <c r="G14" s="158">
        <v>0.5</v>
      </c>
      <c r="H14" s="158"/>
      <c r="I14" s="3">
        <v>0.3</v>
      </c>
      <c r="J14" s="3"/>
      <c r="K14" s="158">
        <v>0.5</v>
      </c>
      <c r="L14" s="158">
        <v>0.5</v>
      </c>
      <c r="M14" s="158">
        <v>0.5</v>
      </c>
      <c r="N14" s="158">
        <v>0.5</v>
      </c>
      <c r="O14" s="158">
        <v>0.5</v>
      </c>
      <c r="P14" s="3"/>
      <c r="Q14" s="186">
        <v>0.5</v>
      </c>
      <c r="R14" s="3"/>
      <c r="S14" s="3"/>
    </row>
    <row r="15" spans="1:19" s="115" customFormat="1" x14ac:dyDescent="0.3">
      <c r="A15" s="40"/>
      <c r="B15" s="51" t="s">
        <v>262</v>
      </c>
      <c r="C15" s="154"/>
      <c r="D15" s="186">
        <v>1.18</v>
      </c>
      <c r="E15" s="158">
        <v>1.1000000000000001</v>
      </c>
      <c r="F15" s="158">
        <v>1.04</v>
      </c>
      <c r="G15" s="158"/>
      <c r="H15" s="158"/>
      <c r="I15" s="158">
        <v>1.34</v>
      </c>
      <c r="J15" s="3"/>
      <c r="K15" s="158">
        <v>1.28</v>
      </c>
      <c r="L15" s="158">
        <v>1.53</v>
      </c>
      <c r="M15" s="158">
        <v>1.77</v>
      </c>
      <c r="N15" s="158">
        <v>0.77</v>
      </c>
      <c r="O15" s="158">
        <v>0.89</v>
      </c>
      <c r="P15" s="3"/>
      <c r="Q15" s="186">
        <v>0.52</v>
      </c>
      <c r="R15" s="3"/>
      <c r="S15" s="3"/>
    </row>
    <row r="16" spans="1:19" s="115" customFormat="1" x14ac:dyDescent="0.3">
      <c r="A16"/>
      <c r="B16" s="51" t="s">
        <v>265</v>
      </c>
      <c r="C16" s="154"/>
      <c r="D16" s="186">
        <v>0.97299999999999998</v>
      </c>
      <c r="E16" s="158">
        <v>0.97299999999999998</v>
      </c>
      <c r="F16" s="158">
        <v>0.97299999999999998</v>
      </c>
      <c r="G16" s="158"/>
      <c r="H16" s="158"/>
      <c r="I16" s="158">
        <v>0.83299999999999996</v>
      </c>
      <c r="J16" s="3"/>
      <c r="K16" s="158">
        <v>0.97299999999999998</v>
      </c>
      <c r="L16" s="158">
        <v>0.97299999999999998</v>
      </c>
      <c r="M16" s="158">
        <v>0.97299999999999998</v>
      </c>
      <c r="N16" s="158">
        <v>0.97299999999999998</v>
      </c>
      <c r="O16" s="158">
        <v>0.97299999999999998</v>
      </c>
      <c r="P16" s="3"/>
      <c r="Q16" s="186">
        <v>0.97299999999999998</v>
      </c>
      <c r="R16" s="3"/>
      <c r="S16" s="3"/>
    </row>
    <row r="17" spans="1:19" s="115" customFormat="1" x14ac:dyDescent="0.3">
      <c r="A17" s="40"/>
      <c r="B17" s="51" t="s">
        <v>266</v>
      </c>
      <c r="C17" s="154"/>
      <c r="D17" s="186">
        <v>0.95099999999999996</v>
      </c>
      <c r="E17" s="158">
        <v>0.95099999999999996</v>
      </c>
      <c r="F17" s="158">
        <v>0.95099999999999996</v>
      </c>
      <c r="G17" s="158"/>
      <c r="H17" s="158"/>
      <c r="I17" s="158">
        <v>0.95799999999999996</v>
      </c>
      <c r="J17" s="3"/>
      <c r="K17" s="158">
        <v>0.95099999999999996</v>
      </c>
      <c r="L17" s="158">
        <v>0.95099999999999996</v>
      </c>
      <c r="M17" s="158">
        <v>0.95099999999999996</v>
      </c>
      <c r="N17" s="158">
        <v>0.95099999999999996</v>
      </c>
      <c r="O17" s="158">
        <v>0.95099999999999996</v>
      </c>
      <c r="P17" s="3"/>
      <c r="Q17" s="186">
        <v>0.95399999999999996</v>
      </c>
      <c r="R17" s="3"/>
      <c r="S17" s="3"/>
    </row>
    <row r="18" spans="1:19" x14ac:dyDescent="0.3">
      <c r="A18" s="40"/>
      <c r="B18" s="51" t="s">
        <v>288</v>
      </c>
      <c r="C18" s="138"/>
      <c r="D18" s="186">
        <v>40</v>
      </c>
      <c r="E18" s="155">
        <v>35</v>
      </c>
      <c r="F18" s="155">
        <v>30</v>
      </c>
      <c r="G18" s="155"/>
      <c r="H18" s="155">
        <v>40</v>
      </c>
      <c r="I18" s="158">
        <v>30</v>
      </c>
      <c r="K18" s="158">
        <v>40</v>
      </c>
      <c r="L18" s="158">
        <v>40</v>
      </c>
      <c r="M18" s="158">
        <v>40</v>
      </c>
      <c r="N18" s="158">
        <v>40</v>
      </c>
      <c r="O18" s="158">
        <v>40</v>
      </c>
      <c r="Q18" s="186">
        <v>30</v>
      </c>
    </row>
    <row r="19" spans="1:19" x14ac:dyDescent="0.3">
      <c r="A19" s="40"/>
      <c r="B19" s="51" t="s">
        <v>290</v>
      </c>
      <c r="C19" s="138"/>
      <c r="D19" s="186">
        <v>37.5</v>
      </c>
      <c r="E19" s="155">
        <v>33.39</v>
      </c>
      <c r="F19" s="155">
        <v>29.39</v>
      </c>
      <c r="G19" s="155"/>
      <c r="H19" s="155">
        <v>37.5</v>
      </c>
      <c r="I19" s="158">
        <v>29.39</v>
      </c>
      <c r="K19" s="158">
        <v>37.5</v>
      </c>
      <c r="L19" s="158">
        <v>37.5</v>
      </c>
      <c r="M19" s="158">
        <v>37.5</v>
      </c>
      <c r="N19" s="158">
        <v>37.5</v>
      </c>
      <c r="O19" s="158">
        <v>37.5</v>
      </c>
      <c r="Q19" s="186">
        <v>29.39</v>
      </c>
    </row>
    <row r="20" spans="1:19" x14ac:dyDescent="0.3">
      <c r="A20" s="40"/>
      <c r="B20" s="51" t="s">
        <v>340</v>
      </c>
      <c r="C20" s="40"/>
      <c r="D20" s="22">
        <v>7300</v>
      </c>
      <c r="E20" s="144">
        <v>5555.8340876860384</v>
      </c>
      <c r="F20" s="144">
        <v>4183.5835022748342</v>
      </c>
      <c r="G20" s="155"/>
      <c r="H20" s="155"/>
      <c r="I20" s="25">
        <v>4183.5835022748342</v>
      </c>
      <c r="K20" s="25">
        <v>7300.180249778181</v>
      </c>
      <c r="L20" s="25">
        <v>7300.180249778181</v>
      </c>
      <c r="M20" s="25">
        <v>7300.180249778181</v>
      </c>
      <c r="N20" s="25">
        <v>7300.180249778181</v>
      </c>
      <c r="O20" s="25">
        <v>7300.180249778181</v>
      </c>
      <c r="Q20" s="118">
        <v>4183.5835022748342</v>
      </c>
    </row>
    <row r="21" spans="1:19" x14ac:dyDescent="0.3">
      <c r="A21" s="40"/>
      <c r="B21" s="51" t="s">
        <v>341</v>
      </c>
      <c r="C21" s="40"/>
      <c r="D21" s="22">
        <v>6377</v>
      </c>
      <c r="E21" s="25">
        <v>5076.8616631307523</v>
      </c>
      <c r="F21" s="25">
        <v>4038.2099613024661</v>
      </c>
      <c r="I21" s="25">
        <v>4038.2099613024661</v>
      </c>
      <c r="K21" s="25">
        <v>6376.7900534643532</v>
      </c>
      <c r="L21" s="25">
        <v>6376.7900534643532</v>
      </c>
      <c r="M21" s="25">
        <v>6376.7900534643532</v>
      </c>
      <c r="N21" s="25">
        <v>6376.7900534643532</v>
      </c>
      <c r="O21" s="25">
        <v>6376.7900534643532</v>
      </c>
      <c r="Q21" s="118">
        <v>4038.2099613024661</v>
      </c>
    </row>
    <row r="22" spans="1:19" x14ac:dyDescent="0.3">
      <c r="A22" s="40"/>
      <c r="B22" s="51" t="s">
        <v>342</v>
      </c>
      <c r="C22" s="58"/>
      <c r="D22" s="22">
        <v>3000</v>
      </c>
      <c r="E22">
        <v>3000</v>
      </c>
      <c r="F22">
        <v>3000</v>
      </c>
      <c r="I22">
        <v>3000</v>
      </c>
      <c r="K22">
        <v>3000</v>
      </c>
      <c r="L22">
        <v>3000</v>
      </c>
      <c r="M22">
        <v>3000</v>
      </c>
      <c r="N22">
        <v>3000</v>
      </c>
      <c r="O22">
        <v>3000</v>
      </c>
      <c r="Q22" s="1">
        <v>3000</v>
      </c>
    </row>
    <row r="23" spans="1:19" x14ac:dyDescent="0.3">
      <c r="A23" s="40"/>
      <c r="B23" s="125" t="s">
        <v>344</v>
      </c>
      <c r="C23" s="150"/>
      <c r="D23" s="205">
        <v>41</v>
      </c>
      <c r="E23" s="157">
        <v>39</v>
      </c>
      <c r="F23" s="157">
        <v>37</v>
      </c>
      <c r="G23" s="157"/>
      <c r="H23" s="157"/>
      <c r="I23" s="115">
        <v>16</v>
      </c>
      <c r="J23" s="115"/>
      <c r="K23" s="115">
        <v>43</v>
      </c>
      <c r="L23" s="115">
        <v>48</v>
      </c>
      <c r="M23" s="115">
        <v>51</v>
      </c>
      <c r="N23" s="115">
        <v>12</v>
      </c>
      <c r="O23" s="115">
        <v>16</v>
      </c>
      <c r="P23" s="115"/>
      <c r="Q23" s="202">
        <v>1</v>
      </c>
    </row>
    <row r="24" spans="1:19" x14ac:dyDescent="0.3">
      <c r="A24" s="40"/>
      <c r="B24" s="51" t="s">
        <v>270</v>
      </c>
      <c r="C24" s="58"/>
      <c r="D24" s="197">
        <v>4.1000000000000001E-11</v>
      </c>
      <c r="E24" s="13">
        <v>4.2799999999999997E-11</v>
      </c>
      <c r="F24" s="13">
        <v>3.9300000000000003E-11</v>
      </c>
      <c r="G24" s="13">
        <v>3.8480672268907563E-11</v>
      </c>
      <c r="H24" s="13">
        <f>D24</f>
        <v>4.1000000000000001E-11</v>
      </c>
      <c r="I24" s="13">
        <v>3.9300000000000003E-11</v>
      </c>
      <c r="K24" s="13">
        <f>D24</f>
        <v>4.1000000000000001E-11</v>
      </c>
      <c r="L24" s="13">
        <f>K24</f>
        <v>4.1000000000000001E-11</v>
      </c>
      <c r="M24" s="13">
        <f>L24</f>
        <v>4.1000000000000001E-11</v>
      </c>
      <c r="N24" s="13">
        <f t="shared" ref="N24:O24" si="0">M24</f>
        <v>4.1000000000000001E-11</v>
      </c>
      <c r="O24" s="13">
        <f t="shared" si="0"/>
        <v>4.1000000000000001E-11</v>
      </c>
      <c r="Q24" s="197">
        <v>3.9300000000000003E-11</v>
      </c>
    </row>
    <row r="25" spans="1:19" x14ac:dyDescent="0.3">
      <c r="B25" s="51" t="s">
        <v>271</v>
      </c>
      <c r="D25" s="22">
        <v>3586</v>
      </c>
      <c r="E25">
        <v>2118</v>
      </c>
      <c r="F25">
        <v>957</v>
      </c>
      <c r="G25">
        <v>-25</v>
      </c>
      <c r="H25">
        <v>6094</v>
      </c>
      <c r="I25">
        <v>676</v>
      </c>
      <c r="K25">
        <v>3586</v>
      </c>
      <c r="L25">
        <v>3586</v>
      </c>
      <c r="M25">
        <v>3586</v>
      </c>
      <c r="N25">
        <v>3586</v>
      </c>
      <c r="O25">
        <v>3586</v>
      </c>
      <c r="Q25" s="1">
        <v>962</v>
      </c>
    </row>
    <row r="26" spans="1:19" x14ac:dyDescent="0.3">
      <c r="B26" s="51" t="s">
        <v>345</v>
      </c>
      <c r="D26" s="197">
        <v>1.4700000000000001E-7</v>
      </c>
      <c r="E26" s="13">
        <v>9.0699999999999998E-8</v>
      </c>
      <c r="F26" s="13">
        <v>3.7599999999999999E-8</v>
      </c>
      <c r="I26" s="13">
        <v>2.66E-8</v>
      </c>
      <c r="K26" s="13">
        <v>1.4700000000000001E-7</v>
      </c>
      <c r="L26" s="13">
        <v>1.4700000000000001E-7</v>
      </c>
      <c r="M26" s="13">
        <v>1.4700000000000001E-7</v>
      </c>
      <c r="N26" s="13">
        <v>1.4700000000000001E-7</v>
      </c>
      <c r="O26" s="13">
        <v>1.4700000000000001E-7</v>
      </c>
      <c r="Q26" s="197">
        <v>3.7800000000000001E-8</v>
      </c>
    </row>
    <row r="27" spans="1:19" x14ac:dyDescent="0.3">
      <c r="B27" s="51" t="s">
        <v>273</v>
      </c>
      <c r="C27" s="150"/>
      <c r="D27" s="205">
        <v>77</v>
      </c>
      <c r="E27" s="157">
        <v>119</v>
      </c>
      <c r="F27" s="157">
        <v>272</v>
      </c>
      <c r="G27" s="157">
        <v>-10047</v>
      </c>
      <c r="H27" s="157"/>
      <c r="I27" s="115">
        <v>170</v>
      </c>
      <c r="J27" s="115"/>
      <c r="K27" s="115">
        <v>82</v>
      </c>
      <c r="L27" s="115">
        <v>90</v>
      </c>
      <c r="M27" s="115">
        <v>96</v>
      </c>
      <c r="N27" s="115">
        <v>24</v>
      </c>
      <c r="O27" s="115">
        <v>30</v>
      </c>
      <c r="P27" s="115"/>
      <c r="Q27" s="202">
        <v>10</v>
      </c>
    </row>
    <row r="28" spans="1:19" x14ac:dyDescent="0.3">
      <c r="B28" s="51" t="s">
        <v>390</v>
      </c>
      <c r="C28" s="150"/>
      <c r="D28" s="235">
        <f>D27/(365*24*Global!$B$5)*10000</f>
        <v>17.579908675799086</v>
      </c>
      <c r="E28" s="173">
        <f>E27/(365*24*Global!$B$5)*10000</f>
        <v>27.168949771689494</v>
      </c>
      <c r="F28" s="173">
        <f>F27/(365*24*Global!$B$5)*10000</f>
        <v>62.100456621004568</v>
      </c>
      <c r="G28" s="157"/>
      <c r="H28" s="157"/>
      <c r="I28" s="115">
        <v>39</v>
      </c>
      <c r="J28" s="115"/>
      <c r="K28" s="115"/>
      <c r="L28" s="115"/>
      <c r="M28" s="115"/>
      <c r="N28" s="115"/>
      <c r="O28" s="115"/>
      <c r="P28" s="115"/>
      <c r="Q28" s="202"/>
    </row>
    <row r="29" spans="1:19" x14ac:dyDescent="0.3">
      <c r="B29" s="51" t="s">
        <v>274</v>
      </c>
      <c r="C29" s="150"/>
      <c r="D29" s="205">
        <v>98</v>
      </c>
      <c r="E29" s="157">
        <v>91</v>
      </c>
      <c r="F29" s="157">
        <v>85</v>
      </c>
      <c r="G29" s="157"/>
      <c r="H29" s="157"/>
      <c r="I29" s="115">
        <v>38</v>
      </c>
      <c r="J29" s="115"/>
      <c r="K29" s="115">
        <v>103</v>
      </c>
      <c r="L29" s="115">
        <v>113</v>
      </c>
      <c r="M29" s="115">
        <v>120</v>
      </c>
      <c r="N29" s="115">
        <v>31</v>
      </c>
      <c r="O29" s="115">
        <v>38</v>
      </c>
      <c r="P29" s="115"/>
      <c r="Q29" s="202">
        <v>5</v>
      </c>
    </row>
    <row r="30" spans="1:19" x14ac:dyDescent="0.3">
      <c r="B30" s="51" t="s">
        <v>205</v>
      </c>
      <c r="D30" s="1">
        <v>42</v>
      </c>
      <c r="E30">
        <v>43</v>
      </c>
      <c r="F30">
        <v>45</v>
      </c>
      <c r="I30" s="3">
        <v>39</v>
      </c>
      <c r="J30" s="3"/>
      <c r="K30" s="3">
        <v>39</v>
      </c>
      <c r="L30" s="3">
        <v>34</v>
      </c>
      <c r="M30" s="3">
        <v>31</v>
      </c>
      <c r="N30" s="3">
        <v>30</v>
      </c>
      <c r="O30" s="3">
        <v>26</v>
      </c>
      <c r="Q30" s="33">
        <v>41</v>
      </c>
    </row>
    <row r="31" spans="1:19" x14ac:dyDescent="0.3">
      <c r="B31" s="51" t="s">
        <v>221</v>
      </c>
      <c r="D31" s="1">
        <v>41</v>
      </c>
      <c r="E31">
        <v>39</v>
      </c>
      <c r="F31">
        <v>37</v>
      </c>
      <c r="I31" s="3">
        <v>16</v>
      </c>
      <c r="J31" s="3"/>
      <c r="K31" s="3">
        <v>43</v>
      </c>
      <c r="L31" s="3">
        <v>48</v>
      </c>
      <c r="M31" s="3">
        <v>51</v>
      </c>
      <c r="N31" s="3">
        <v>12</v>
      </c>
      <c r="O31" s="3">
        <v>16</v>
      </c>
      <c r="Q31" s="33">
        <v>1</v>
      </c>
    </row>
    <row r="32" spans="1:19" x14ac:dyDescent="0.3">
      <c r="I32" s="3"/>
      <c r="J32" s="3"/>
      <c r="K32" s="3"/>
      <c r="L32" s="3"/>
      <c r="M32" s="3"/>
    </row>
  </sheetData>
  <pageMargins left="0.7" right="0.7" top="0.75" bottom="0.75" header="0.3" footer="0.3"/>
  <pageSetup paperSize="9"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18E20-7FBC-4FF3-AF97-20A9187E58FA}">
  <sheetPr codeName="Feuil8"/>
  <dimension ref="A1:K24"/>
  <sheetViews>
    <sheetView zoomScale="86" workbookViewId="0">
      <selection activeCell="A17" sqref="A17:D23"/>
    </sheetView>
  </sheetViews>
  <sheetFormatPr baseColWidth="10" defaultColWidth="11.44140625" defaultRowHeight="14.4" x14ac:dyDescent="0.3"/>
  <cols>
    <col min="1" max="1" width="25.6640625" customWidth="1"/>
    <col min="3" max="3" width="10.109375" bestFit="1" customWidth="1"/>
    <col min="8" max="8" width="14.109375" customWidth="1"/>
  </cols>
  <sheetData>
    <row r="1" spans="1:11" ht="15.6" x14ac:dyDescent="0.3">
      <c r="A1" s="2" t="s">
        <v>391</v>
      </c>
      <c r="B1" t="s">
        <v>392</v>
      </c>
      <c r="C1" s="43">
        <f>SUM(C2:C13)/1000</f>
        <v>18.864000000000001</v>
      </c>
      <c r="D1" s="3"/>
    </row>
    <row r="4" spans="1:11" x14ac:dyDescent="0.3">
      <c r="B4" t="s">
        <v>393</v>
      </c>
    </row>
    <row r="5" spans="1:11" x14ac:dyDescent="0.3">
      <c r="A5" t="s">
        <v>394</v>
      </c>
      <c r="B5">
        <v>80</v>
      </c>
      <c r="C5">
        <f>B5*3600/1000</f>
        <v>288</v>
      </c>
      <c r="D5" t="s">
        <v>125</v>
      </c>
    </row>
    <row r="6" spans="1:11" x14ac:dyDescent="0.3">
      <c r="A6" s="3" t="s">
        <v>395</v>
      </c>
      <c r="B6">
        <v>120</v>
      </c>
      <c r="C6">
        <f t="shared" ref="C6:C11" si="0">B6*3600/1000</f>
        <v>432</v>
      </c>
      <c r="D6" t="s">
        <v>125</v>
      </c>
    </row>
    <row r="7" spans="1:11" x14ac:dyDescent="0.3">
      <c r="A7" s="3" t="s">
        <v>396</v>
      </c>
      <c r="B7">
        <v>80</v>
      </c>
      <c r="C7">
        <f t="shared" si="0"/>
        <v>288</v>
      </c>
      <c r="D7" t="s">
        <v>125</v>
      </c>
    </row>
    <row r="8" spans="1:11" x14ac:dyDescent="0.3">
      <c r="A8" s="3" t="s">
        <v>397</v>
      </c>
      <c r="B8">
        <v>2400</v>
      </c>
      <c r="C8">
        <f>B8*3600/1000</f>
        <v>8640</v>
      </c>
      <c r="D8" t="s">
        <v>125</v>
      </c>
    </row>
    <row r="9" spans="1:11" x14ac:dyDescent="0.3">
      <c r="A9" s="3" t="s">
        <v>398</v>
      </c>
      <c r="B9">
        <v>2400</v>
      </c>
      <c r="C9">
        <f t="shared" si="0"/>
        <v>8640</v>
      </c>
      <c r="D9" t="s">
        <v>125</v>
      </c>
    </row>
    <row r="10" spans="1:11" x14ac:dyDescent="0.3">
      <c r="A10" s="3" t="s">
        <v>399</v>
      </c>
      <c r="B10">
        <v>80</v>
      </c>
      <c r="C10">
        <f t="shared" si="0"/>
        <v>288</v>
      </c>
      <c r="D10" t="s">
        <v>125</v>
      </c>
    </row>
    <row r="11" spans="1:11" x14ac:dyDescent="0.3">
      <c r="A11" s="3" t="s">
        <v>400</v>
      </c>
      <c r="B11">
        <v>80</v>
      </c>
      <c r="C11">
        <f t="shared" si="0"/>
        <v>288</v>
      </c>
      <c r="D11" t="s">
        <v>125</v>
      </c>
    </row>
    <row r="12" spans="1:11" x14ac:dyDescent="0.3">
      <c r="H12" s="33"/>
      <c r="I12" s="3"/>
      <c r="J12" s="3"/>
      <c r="K12" s="27"/>
    </row>
    <row r="13" spans="1:11" x14ac:dyDescent="0.3">
      <c r="A13" s="1"/>
      <c r="H13" s="3"/>
      <c r="I13" s="3"/>
      <c r="J13" s="3"/>
      <c r="K13" s="14"/>
    </row>
    <row r="14" spans="1:11" x14ac:dyDescent="0.3">
      <c r="A14" s="33" t="s">
        <v>401</v>
      </c>
    </row>
    <row r="15" spans="1:11" x14ac:dyDescent="0.3">
      <c r="A15" s="3" t="s">
        <v>103</v>
      </c>
      <c r="B15" s="2">
        <v>10</v>
      </c>
      <c r="C15" t="s">
        <v>402</v>
      </c>
    </row>
    <row r="16" spans="1:11" x14ac:dyDescent="0.3">
      <c r="A16" s="1"/>
    </row>
    <row r="17" spans="1:5" x14ac:dyDescent="0.3">
      <c r="A17" s="138"/>
      <c r="B17" s="138"/>
      <c r="C17" s="138"/>
      <c r="D17" s="138"/>
      <c r="E17" s="138"/>
    </row>
    <row r="18" spans="1:5" x14ac:dyDescent="0.3">
      <c r="A18" s="179"/>
      <c r="B18" s="142"/>
      <c r="C18" s="142"/>
      <c r="D18" s="142"/>
      <c r="E18" s="138"/>
    </row>
    <row r="19" spans="1:5" x14ac:dyDescent="0.3">
      <c r="A19" s="138"/>
      <c r="B19" s="138"/>
      <c r="C19" s="138"/>
      <c r="D19" s="138"/>
      <c r="E19" s="138"/>
    </row>
    <row r="20" spans="1:5" x14ac:dyDescent="0.3">
      <c r="A20" s="179"/>
      <c r="B20" s="142"/>
      <c r="C20" s="142"/>
      <c r="D20" s="142"/>
      <c r="E20" s="138"/>
    </row>
    <row r="21" spans="1:5" x14ac:dyDescent="0.3">
      <c r="A21" s="154"/>
      <c r="B21" s="180"/>
      <c r="C21" s="138"/>
      <c r="D21" s="138"/>
      <c r="E21" s="138"/>
    </row>
    <row r="22" spans="1:5" x14ac:dyDescent="0.3">
      <c r="A22" s="138"/>
      <c r="B22" s="138"/>
      <c r="C22" s="138"/>
      <c r="D22" s="138"/>
      <c r="E22" s="138"/>
    </row>
    <row r="23" spans="1:5" x14ac:dyDescent="0.3">
      <c r="A23" s="138"/>
      <c r="B23" s="138"/>
      <c r="C23" s="138"/>
      <c r="D23" s="138"/>
      <c r="E23" s="138"/>
    </row>
    <row r="24" spans="1:5" x14ac:dyDescent="0.3">
      <c r="A24" s="3"/>
    </row>
  </sheetData>
  <pageMargins left="0.7" right="0.7" top="0.75" bottom="0.75" header="0.3" footer="0.3"/>
  <drawing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522E5-9F5D-411E-AF4F-0D4D56F77E22}">
  <dimension ref="A7:E13"/>
  <sheetViews>
    <sheetView workbookViewId="0">
      <selection activeCell="G9" sqref="G9"/>
    </sheetView>
  </sheetViews>
  <sheetFormatPr baseColWidth="10" defaultColWidth="11.44140625" defaultRowHeight="14.4" x14ac:dyDescent="0.3"/>
  <cols>
    <col min="2" max="2" width="14.6640625" customWidth="1"/>
  </cols>
  <sheetData>
    <row r="7" spans="1:5" x14ac:dyDescent="0.3">
      <c r="B7" s="3"/>
      <c r="C7" s="3" t="s">
        <v>403</v>
      </c>
      <c r="D7" s="3"/>
    </row>
    <row r="8" spans="1:5" x14ac:dyDescent="0.3">
      <c r="B8" s="3"/>
      <c r="C8" s="3" t="s">
        <v>404</v>
      </c>
      <c r="D8" s="3" t="s">
        <v>405</v>
      </c>
    </row>
    <row r="9" spans="1:5" x14ac:dyDescent="0.3">
      <c r="A9" t="s">
        <v>162</v>
      </c>
      <c r="B9" s="186" t="s">
        <v>378</v>
      </c>
      <c r="C9" s="186">
        <v>3586</v>
      </c>
      <c r="D9" s="3">
        <v>3570</v>
      </c>
      <c r="E9">
        <f>C9-D9</f>
        <v>16</v>
      </c>
    </row>
    <row r="10" spans="1:5" x14ac:dyDescent="0.3">
      <c r="A10" t="s">
        <v>406</v>
      </c>
      <c r="B10" s="158" t="s">
        <v>379</v>
      </c>
      <c r="C10" s="3">
        <v>2118</v>
      </c>
      <c r="D10" s="91">
        <v>2113.3392649841144</v>
      </c>
      <c r="E10">
        <f t="shared" ref="E10:E13" si="0">C10-D10</f>
        <v>4.6607350158856207</v>
      </c>
    </row>
    <row r="11" spans="1:5" x14ac:dyDescent="0.3">
      <c r="A11" t="s">
        <v>407</v>
      </c>
      <c r="B11" s="158" t="s">
        <v>380</v>
      </c>
      <c r="C11" s="3">
        <v>957</v>
      </c>
      <c r="D11" s="91">
        <v>958.35820770235557</v>
      </c>
      <c r="E11">
        <f t="shared" si="0"/>
        <v>-1.3582077023555712</v>
      </c>
    </row>
    <row r="12" spans="1:5" x14ac:dyDescent="0.3">
      <c r="A12" t="s">
        <v>408</v>
      </c>
      <c r="B12" s="3" t="s">
        <v>409</v>
      </c>
      <c r="C12" s="3">
        <v>3094</v>
      </c>
      <c r="D12" s="3">
        <v>3094</v>
      </c>
      <c r="E12">
        <f t="shared" si="0"/>
        <v>0</v>
      </c>
    </row>
    <row r="13" spans="1:5" x14ac:dyDescent="0.3">
      <c r="A13" t="s">
        <v>408</v>
      </c>
      <c r="B13" s="3" t="s">
        <v>382</v>
      </c>
      <c r="C13" s="3">
        <v>676</v>
      </c>
      <c r="D13" s="3">
        <v>657</v>
      </c>
      <c r="E13">
        <f t="shared" si="0"/>
        <v>19</v>
      </c>
    </row>
  </sheetData>
  <phoneticPr fontId="16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300BC-7B14-4D52-B31C-DB41B11277DE}">
  <sheetPr codeName="Feuil1"/>
  <dimension ref="A1:Q33"/>
  <sheetViews>
    <sheetView zoomScale="81" workbookViewId="0">
      <selection activeCell="C36" sqref="C36"/>
    </sheetView>
  </sheetViews>
  <sheetFormatPr baseColWidth="10" defaultColWidth="11.44140625" defaultRowHeight="14.4" x14ac:dyDescent="0.3"/>
  <cols>
    <col min="3" max="3" width="24.6640625" customWidth="1"/>
    <col min="4" max="4" width="24.33203125" customWidth="1"/>
  </cols>
  <sheetData>
    <row r="1" spans="1:17" x14ac:dyDescent="0.3">
      <c r="B1" s="3" t="s">
        <v>13</v>
      </c>
      <c r="C1" s="3" t="s">
        <v>14</v>
      </c>
      <c r="D1" s="3" t="s">
        <v>15</v>
      </c>
      <c r="E1" s="3" t="s">
        <v>16</v>
      </c>
      <c r="F1" s="3" t="s">
        <v>17</v>
      </c>
    </row>
    <row r="2" spans="1:17" x14ac:dyDescent="0.3">
      <c r="B2" s="3">
        <v>0</v>
      </c>
      <c r="C2" s="14">
        <f>Tableau1[[#This Row],[T ]]^2*0.006+Tableau1[[#This Row],[T ]]*1.2195+68.946</f>
        <v>68.945999999999998</v>
      </c>
      <c r="D2" s="14">
        <f>Tableau1[[#This Row],['[NaHCO3']sat (g/kgeau)]]/84</f>
        <v>0.82078571428571423</v>
      </c>
      <c r="E2" s="3">
        <f>Tableau1[[#This Row],['[NaHCO3']sat (g/kgeau)]]*$D$15</f>
        <v>68.945999999999998</v>
      </c>
      <c r="F2" s="14">
        <f>Tableau1[[#This Row],['[NaHCO3']super (g/kgeau)2]]/84</f>
        <v>0.82078571428571423</v>
      </c>
      <c r="Q2" t="s">
        <v>18</v>
      </c>
    </row>
    <row r="3" spans="1:17" x14ac:dyDescent="0.3">
      <c r="B3" s="3">
        <v>10</v>
      </c>
      <c r="C3" s="14">
        <f>Tableau1[[#This Row],[T ]]^2*0.006+Tableau1[[#This Row],[T ]]*1.2195+68.946</f>
        <v>81.741</v>
      </c>
      <c r="D3" s="14">
        <f>Tableau1[[#This Row],['[NaHCO3']sat (g/kgeau)]]/84</f>
        <v>0.97310714285714284</v>
      </c>
      <c r="E3" s="3">
        <f>Tableau1[[#This Row],['[NaHCO3']sat (g/kgeau)]]*$D$15</f>
        <v>81.741</v>
      </c>
      <c r="F3" s="14">
        <f>Tableau1[[#This Row],['[NaHCO3']super (g/kgeau)2]]/84</f>
        <v>0.97310714285714284</v>
      </c>
    </row>
    <row r="4" spans="1:17" x14ac:dyDescent="0.3">
      <c r="B4" s="3">
        <v>20</v>
      </c>
      <c r="C4" s="14">
        <f>Tableau1[[#This Row],[T ]]^2*0.006+Tableau1[[#This Row],[T ]]*1.2195+68.946</f>
        <v>95.73599999999999</v>
      </c>
      <c r="D4" s="14">
        <f>Tableau1[[#This Row],['[NaHCO3']sat (g/kgeau)]]/84</f>
        <v>1.1397142857142857</v>
      </c>
      <c r="E4" s="3">
        <f>Tableau1[[#This Row],['[NaHCO3']sat (g/kgeau)]]*$D$15</f>
        <v>95.73599999999999</v>
      </c>
      <c r="F4" s="14">
        <f>Tableau1[[#This Row],['[NaHCO3']super (g/kgeau)2]]/84</f>
        <v>1.1397142857142857</v>
      </c>
    </row>
    <row r="5" spans="1:17" x14ac:dyDescent="0.3">
      <c r="B5" s="3">
        <v>30</v>
      </c>
      <c r="C5" s="14">
        <f>Tableau1[[#This Row],[T ]]^2*0.006+Tableau1[[#This Row],[T ]]*1.2195+68.946</f>
        <v>110.931</v>
      </c>
      <c r="D5" s="14">
        <f>Tableau1[[#This Row],['[NaHCO3']sat (g/kgeau)]]/84</f>
        <v>1.3206071428571429</v>
      </c>
      <c r="E5" s="3">
        <f>Tableau1[[#This Row],['[NaHCO3']sat (g/kgeau)]]*$D$15</f>
        <v>110.931</v>
      </c>
      <c r="F5" s="14">
        <f>Tableau1[[#This Row],['[NaHCO3']super (g/kgeau)2]]/84</f>
        <v>1.3206071428571429</v>
      </c>
    </row>
    <row r="6" spans="1:17" x14ac:dyDescent="0.3">
      <c r="B6" s="3">
        <v>40</v>
      </c>
      <c r="C6" s="14">
        <f>Tableau1[[#This Row],[T ]]^2*0.006+Tableau1[[#This Row],[T ]]*1.2195+68.946</f>
        <v>127.32599999999999</v>
      </c>
      <c r="D6" s="14">
        <f>Tableau1[[#This Row],['[NaHCO3']sat (g/kgeau)]]/84</f>
        <v>1.5157857142857143</v>
      </c>
      <c r="E6" s="3">
        <f>Tableau1[[#This Row],['[NaHCO3']sat (g/kgeau)]]*$D$15</f>
        <v>127.32599999999999</v>
      </c>
      <c r="F6" s="14">
        <f>Tableau1[[#This Row],['[NaHCO3']super (g/kgeau)2]]/84</f>
        <v>1.5157857142857143</v>
      </c>
    </row>
    <row r="7" spans="1:17" x14ac:dyDescent="0.3">
      <c r="B7" s="3">
        <v>50</v>
      </c>
      <c r="C7" s="14">
        <f>Tableau1[[#This Row],[T ]]^2*0.006+Tableau1[[#This Row],[T ]]*1.2195+68.946</f>
        <v>144.92099999999999</v>
      </c>
      <c r="D7" s="14">
        <f>Tableau1[[#This Row],['[NaHCO3']sat (g/kgeau)]]/84</f>
        <v>1.72525</v>
      </c>
      <c r="E7" s="3">
        <f>Tableau1[[#This Row],['[NaHCO3']sat (g/kgeau)]]*$D$15</f>
        <v>144.92099999999999</v>
      </c>
      <c r="F7" s="14">
        <f>Tableau1[[#This Row],['[NaHCO3']super (g/kgeau)2]]/84</f>
        <v>1.72525</v>
      </c>
    </row>
    <row r="8" spans="1:17" ht="18" x14ac:dyDescent="0.35">
      <c r="A8" t="s">
        <v>19</v>
      </c>
      <c r="B8" s="36">
        <f>OMD!I9</f>
        <v>25</v>
      </c>
      <c r="C8" s="14">
        <f>Tableau1[[#This Row],[T ]]^2*0.006+Tableau1[[#This Row],[T ]]*1.2195+68.946</f>
        <v>103.1835</v>
      </c>
      <c r="D8" s="14">
        <f>Tableau1[[#This Row],['[NaHCO3']sat (g/kgeau)]]/84</f>
        <v>1.228375</v>
      </c>
      <c r="E8" s="119">
        <f>Tableau1[[#This Row],['[NaHCO3']sat (g/kgeau)]]*$D$15</f>
        <v>103.1835</v>
      </c>
      <c r="F8" s="183">
        <f>Tableau1[[#This Row],['[NaHCO3']super (g/kgeau)2]]/84</f>
        <v>1.228375</v>
      </c>
    </row>
    <row r="9" spans="1:17" ht="18" x14ac:dyDescent="0.35">
      <c r="A9" t="s">
        <v>20</v>
      </c>
      <c r="B9" s="37">
        <f>VMD!I12</f>
        <v>29.39</v>
      </c>
      <c r="C9" s="14">
        <f>Tableau1[[#This Row],[T ]]^2*0.006+Tableau1[[#This Row],[T ]]*1.2195+68.946</f>
        <v>109.9697376</v>
      </c>
      <c r="D9" s="14">
        <f>Tableau1[[#This Row],['[NaHCO3']sat (g/kgeau)]]/84</f>
        <v>1.3091635428571429</v>
      </c>
      <c r="E9" s="119">
        <f>Tableau1[[#This Row],['[NaHCO3']sat (g/kgeau)]]*$D$15</f>
        <v>109.9697376</v>
      </c>
      <c r="F9" s="183">
        <f>Tableau1[[#This Row],['[NaHCO3']super (g/kgeau)2]]/84</f>
        <v>1.3091635428571429</v>
      </c>
    </row>
    <row r="10" spans="1:17" ht="18" x14ac:dyDescent="0.35">
      <c r="A10" t="s">
        <v>21</v>
      </c>
      <c r="B10" s="37">
        <f>DCMD!I14</f>
        <v>19</v>
      </c>
      <c r="C10" s="14">
        <f>Tableau1[[#This Row],[T ]]^2*0.006+Tableau1[[#This Row],[T ]]*1.2195+68.946</f>
        <v>94.282499999999999</v>
      </c>
      <c r="D10" s="14">
        <f>Tableau1[[#This Row],['[NaHCO3']sat (g/kgeau)]]/84</f>
        <v>1.1224107142857143</v>
      </c>
      <c r="E10" s="119">
        <f>Tableau1[[#This Row],['[NaHCO3']sat (g/kgeau)]]*$D$15</f>
        <v>94.282499999999999</v>
      </c>
      <c r="F10" s="183">
        <f>Tableau1[[#This Row],['[NaHCO3']super (g/kgeau)2]]/84</f>
        <v>1.1224107142857143</v>
      </c>
    </row>
    <row r="14" spans="1:17" x14ac:dyDescent="0.3">
      <c r="C14" t="s">
        <v>22</v>
      </c>
      <c r="D14" t="s">
        <v>23</v>
      </c>
    </row>
    <row r="15" spans="1:17" x14ac:dyDescent="0.3">
      <c r="D15" s="2">
        <v>1</v>
      </c>
    </row>
    <row r="18" spans="1:4" x14ac:dyDescent="0.3">
      <c r="C18" t="s">
        <v>24</v>
      </c>
    </row>
    <row r="22" spans="1:4" x14ac:dyDescent="0.3">
      <c r="A22" s="69"/>
      <c r="B22" s="69"/>
      <c r="C22" s="69"/>
      <c r="D22" s="69"/>
    </row>
    <row r="23" spans="1:4" x14ac:dyDescent="0.3">
      <c r="A23" s="69"/>
      <c r="B23" s="236"/>
      <c r="C23" s="236"/>
      <c r="D23" s="69"/>
    </row>
    <row r="24" spans="1:4" x14ac:dyDescent="0.3">
      <c r="A24" s="69"/>
      <c r="B24" s="68"/>
      <c r="C24" s="41"/>
      <c r="D24" s="69"/>
    </row>
    <row r="25" spans="1:4" x14ac:dyDescent="0.3">
      <c r="A25" s="69"/>
      <c r="B25" s="68"/>
      <c r="C25" s="41"/>
      <c r="D25" s="69"/>
    </row>
    <row r="26" spans="1:4" x14ac:dyDescent="0.3">
      <c r="A26" s="69"/>
      <c r="B26" s="68"/>
      <c r="C26" s="41"/>
      <c r="D26" s="69"/>
    </row>
    <row r="27" spans="1:4" x14ac:dyDescent="0.3">
      <c r="A27" s="69"/>
      <c r="B27" s="68"/>
      <c r="C27" s="41"/>
      <c r="D27" s="69"/>
    </row>
    <row r="28" spans="1:4" x14ac:dyDescent="0.3">
      <c r="A28" s="69"/>
      <c r="B28" s="68"/>
      <c r="C28" s="41"/>
      <c r="D28" s="69"/>
    </row>
    <row r="29" spans="1:4" x14ac:dyDescent="0.3">
      <c r="A29" s="69"/>
      <c r="B29" s="68"/>
      <c r="C29" s="41"/>
      <c r="D29" s="69"/>
    </row>
    <row r="30" spans="1:4" x14ac:dyDescent="0.3">
      <c r="A30" s="69"/>
      <c r="B30" s="68"/>
      <c r="C30" s="41"/>
      <c r="D30" s="69"/>
    </row>
    <row r="31" spans="1:4" x14ac:dyDescent="0.3">
      <c r="A31" s="69"/>
      <c r="B31" s="68"/>
      <c r="C31" s="41"/>
      <c r="D31" s="69"/>
    </row>
    <row r="32" spans="1:4" x14ac:dyDescent="0.3">
      <c r="A32" s="69"/>
      <c r="B32" s="68"/>
      <c r="C32" s="41"/>
      <c r="D32" s="69"/>
    </row>
    <row r="33" spans="1:4" x14ac:dyDescent="0.3">
      <c r="A33" s="69"/>
      <c r="B33" s="69"/>
      <c r="C33" s="69"/>
      <c r="D33" s="69"/>
    </row>
  </sheetData>
  <phoneticPr fontId="16" type="noConversion"/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3"/>
  <dimension ref="A1:T75"/>
  <sheetViews>
    <sheetView zoomScale="73" workbookViewId="0">
      <selection activeCell="L8" sqref="L8"/>
    </sheetView>
  </sheetViews>
  <sheetFormatPr baseColWidth="10" defaultColWidth="8.88671875" defaultRowHeight="14.4" x14ac:dyDescent="0.3"/>
  <cols>
    <col min="1" max="1" width="32.33203125" style="6" customWidth="1"/>
    <col min="2" max="2" width="14.6640625" style="6" bestFit="1" customWidth="1"/>
    <col min="3" max="3" width="13.6640625" style="6" customWidth="1"/>
    <col min="4" max="4" width="14.5546875" style="6" customWidth="1"/>
    <col min="5" max="5" width="11.6640625" style="6" customWidth="1"/>
    <col min="6" max="6" width="13.109375" style="6" bestFit="1" customWidth="1"/>
    <col min="7" max="7" width="12.6640625" style="6" customWidth="1"/>
    <col min="8" max="10" width="11.33203125" style="6" customWidth="1"/>
    <col min="11" max="11" width="21.109375" style="6" customWidth="1"/>
    <col min="12" max="12" width="13.33203125" style="6" bestFit="1" customWidth="1"/>
    <col min="13" max="13" width="19.109375" style="6" customWidth="1"/>
    <col min="14" max="14" width="8.44140625" style="6" customWidth="1"/>
    <col min="15" max="15" width="9.88671875" style="6" customWidth="1"/>
    <col min="16" max="16" width="7.6640625" style="6" customWidth="1"/>
    <col min="17" max="17" width="11.88671875" style="6" bestFit="1" customWidth="1"/>
    <col min="18" max="18" width="6.44140625" style="6" customWidth="1"/>
    <col min="19" max="19" width="16" style="6" customWidth="1"/>
    <col min="20" max="16384" width="8.88671875" style="6"/>
  </cols>
  <sheetData>
    <row r="1" spans="1:19" ht="15.6" x14ac:dyDescent="0.3">
      <c r="A1" s="5" t="s">
        <v>25</v>
      </c>
      <c r="C1" s="53" t="s">
        <v>26</v>
      </c>
      <c r="K1" s="28" t="s">
        <v>27</v>
      </c>
    </row>
    <row r="2" spans="1:19" x14ac:dyDescent="0.3">
      <c r="C2" s="9">
        <v>2.4799999999999999E-2</v>
      </c>
      <c r="D2" s="13" t="s">
        <v>28</v>
      </c>
      <c r="K2" s="17" t="s">
        <v>29</v>
      </c>
      <c r="L2" s="17">
        <v>15</v>
      </c>
    </row>
    <row r="3" spans="1:19" x14ac:dyDescent="0.3">
      <c r="D3" s="12"/>
      <c r="K3" s="17" t="s">
        <v>30</v>
      </c>
      <c r="L3" s="207">
        <f>100-0.001</f>
        <v>99.998999999999995</v>
      </c>
    </row>
    <row r="4" spans="1:19" x14ac:dyDescent="0.3">
      <c r="K4" s="17" t="s">
        <v>31</v>
      </c>
      <c r="L4" s="62">
        <v>1</v>
      </c>
    </row>
    <row r="5" spans="1:19" ht="18" x14ac:dyDescent="0.35">
      <c r="A5" s="80" t="s">
        <v>32</v>
      </c>
      <c r="B5" s="8" t="s">
        <v>33</v>
      </c>
      <c r="C5" s="8" t="s">
        <v>34</v>
      </c>
      <c r="D5" s="8" t="s">
        <v>35</v>
      </c>
      <c r="E5" s="8" t="s">
        <v>36</v>
      </c>
      <c r="F5" s="8" t="s">
        <v>37</v>
      </c>
      <c r="G5" s="8" t="s">
        <v>38</v>
      </c>
      <c r="K5" s="94" t="s">
        <v>39</v>
      </c>
      <c r="L5" s="95">
        <f>ABS(1-L4)</f>
        <v>0</v>
      </c>
    </row>
    <row r="6" spans="1:19" x14ac:dyDescent="0.3">
      <c r="A6" s="6" t="s">
        <v>40</v>
      </c>
      <c r="B6" s="14">
        <f>L2</f>
        <v>15</v>
      </c>
      <c r="C6" s="6">
        <v>44</v>
      </c>
      <c r="D6" s="10">
        <f>B6*10^-6</f>
        <v>1.4999999999999999E-5</v>
      </c>
      <c r="E6" s="10">
        <f>D6/C2</f>
        <v>6.0483870967741927E-4</v>
      </c>
      <c r="F6" s="19">
        <f>E6/(D6+D7)</f>
        <v>6.0483870967741931</v>
      </c>
      <c r="G6" s="54">
        <f>F6*10^6*0.0248</f>
        <v>150000</v>
      </c>
      <c r="K6" s="17" t="s">
        <v>41</v>
      </c>
      <c r="L6" s="209">
        <v>1.2E-2</v>
      </c>
    </row>
    <row r="7" spans="1:19" x14ac:dyDescent="0.3">
      <c r="A7" s="6" t="s">
        <v>42</v>
      </c>
      <c r="B7" s="6">
        <f>100-B6</f>
        <v>85</v>
      </c>
      <c r="C7" s="6">
        <v>28.95</v>
      </c>
      <c r="D7" s="10">
        <f>B7*10^-6</f>
        <v>8.4999999999999993E-5</v>
      </c>
      <c r="E7" s="10">
        <f>D7/C2</f>
        <v>3.4274193548387093E-3</v>
      </c>
      <c r="F7" s="14"/>
      <c r="K7" s="16" t="s">
        <v>43</v>
      </c>
      <c r="L7" s="107">
        <v>0.28000000000000003</v>
      </c>
      <c r="M7" s="6">
        <f>100-99</f>
        <v>1</v>
      </c>
    </row>
    <row r="8" spans="1:19" x14ac:dyDescent="0.3">
      <c r="A8" s="6" t="s">
        <v>44</v>
      </c>
      <c r="B8" s="60">
        <f>L2*(100-L3)/100</f>
        <v>1.5000000000071624E-4</v>
      </c>
      <c r="C8" s="6">
        <v>44</v>
      </c>
      <c r="D8" s="13">
        <f>B8*10^-6</f>
        <v>1.5000000000071623E-10</v>
      </c>
      <c r="E8" s="12">
        <f>D8/$C$2</f>
        <v>6.0483870968030743E-9</v>
      </c>
      <c r="F8" s="54">
        <f>E8/(D8+D7)</f>
        <v>7.1157369684677913E-5</v>
      </c>
      <c r="G8" s="54">
        <f>F8*10^6*0.0248</f>
        <v>1.7647027681800123</v>
      </c>
      <c r="K8" s="16" t="s">
        <v>45</v>
      </c>
      <c r="L8" s="16"/>
    </row>
    <row r="9" spans="1:19" x14ac:dyDescent="0.3">
      <c r="A9" s="6" t="s">
        <v>46</v>
      </c>
      <c r="B9" s="6">
        <f>B6/(B7+B6)*100</f>
        <v>15</v>
      </c>
      <c r="D9" s="10"/>
      <c r="E9" s="10"/>
      <c r="F9" s="14"/>
      <c r="G9" s="83"/>
      <c r="H9" s="55"/>
      <c r="I9" s="55"/>
      <c r="J9" s="55"/>
      <c r="K9" s="17" t="s">
        <v>47</v>
      </c>
      <c r="L9" s="48">
        <v>1</v>
      </c>
    </row>
    <row r="10" spans="1:19" x14ac:dyDescent="0.3">
      <c r="B10" s="18"/>
      <c r="D10" s="10"/>
      <c r="E10" s="10"/>
      <c r="F10" s="14"/>
      <c r="H10" s="55"/>
      <c r="I10" s="55"/>
      <c r="J10" s="55"/>
      <c r="K10" s="17" t="s">
        <v>48</v>
      </c>
      <c r="L10" s="17">
        <v>0</v>
      </c>
    </row>
    <row r="11" spans="1:19" ht="18" x14ac:dyDescent="0.35">
      <c r="A11" s="80" t="s">
        <v>49</v>
      </c>
      <c r="B11" s="8" t="s">
        <v>50</v>
      </c>
      <c r="C11" s="61" t="s">
        <v>51</v>
      </c>
      <c r="D11" s="8" t="s">
        <v>52</v>
      </c>
      <c r="E11" s="8" t="s">
        <v>33</v>
      </c>
      <c r="F11" s="8" t="s">
        <v>53</v>
      </c>
      <c r="H11" s="14"/>
      <c r="I11" s="14"/>
      <c r="J11" s="14"/>
      <c r="K11" s="94" t="s">
        <v>54</v>
      </c>
      <c r="L11" s="182">
        <f>(2*C12)/(H35*(E30*L4+F30*L5))</f>
        <v>0.63854047890535925</v>
      </c>
    </row>
    <row r="12" spans="1:19" x14ac:dyDescent="0.3">
      <c r="A12" s="6" t="s">
        <v>55</v>
      </c>
      <c r="B12" s="16">
        <v>1</v>
      </c>
      <c r="C12" s="6">
        <f>B12/44*1000</f>
        <v>22.727272727272727</v>
      </c>
      <c r="D12" s="6">
        <f>C12*0.0248</f>
        <v>0.5636363636363636</v>
      </c>
      <c r="E12" s="25">
        <f>D12*16666.7</f>
        <v>9393.9581818181814</v>
      </c>
      <c r="F12" s="11">
        <f>L3</f>
        <v>99.998999999999995</v>
      </c>
      <c r="L12" s="9"/>
      <c r="O12" s="116"/>
    </row>
    <row r="13" spans="1:19" x14ac:dyDescent="0.3">
      <c r="B13" s="9"/>
      <c r="E13" s="25"/>
      <c r="F13" s="11"/>
    </row>
    <row r="14" spans="1:19" x14ac:dyDescent="0.3">
      <c r="B14" s="8" t="s">
        <v>56</v>
      </c>
      <c r="C14" s="8" t="s">
        <v>57</v>
      </c>
      <c r="D14" s="8" t="s">
        <v>58</v>
      </c>
      <c r="E14" s="8" t="s">
        <v>33</v>
      </c>
      <c r="F14" s="8" t="s">
        <v>59</v>
      </c>
      <c r="G14" s="8" t="s">
        <v>38</v>
      </c>
      <c r="H14" s="8" t="s">
        <v>60</v>
      </c>
    </row>
    <row r="15" spans="1:19" ht="15.6" x14ac:dyDescent="0.3">
      <c r="A15" s="6" t="s">
        <v>61</v>
      </c>
      <c r="B15" s="6">
        <f>D12/F12*100</f>
        <v>0.56364200005636411</v>
      </c>
      <c r="C15" s="6">
        <f>C12/($F$12/100)</f>
        <v>22.727500002272752</v>
      </c>
      <c r="D15" s="14">
        <f>C15*C6</f>
        <v>1000.0100001000011</v>
      </c>
      <c r="E15" s="25">
        <f>B15*16666.7</f>
        <v>9394.0521223394044</v>
      </c>
      <c r="F15" s="6">
        <f>C15/(B15+B17)</f>
        <v>6.0483870967741948</v>
      </c>
      <c r="H15" s="168">
        <f>C15/(C15+C17)</f>
        <v>0.15</v>
      </c>
      <c r="K15" s="28" t="s">
        <v>62</v>
      </c>
      <c r="N15" s="6" t="s">
        <v>63</v>
      </c>
      <c r="O15" s="6" t="s">
        <v>64</v>
      </c>
    </row>
    <row r="16" spans="1:19" x14ac:dyDescent="0.3">
      <c r="A16" s="6" t="s">
        <v>65</v>
      </c>
      <c r="B16" s="6">
        <f>B15-D12</f>
        <v>5.6364200005099008E-6</v>
      </c>
      <c r="C16" s="6">
        <f>B16/0.0248</f>
        <v>2.2727500002056052E-4</v>
      </c>
      <c r="D16" s="27">
        <f>C16*C6</f>
        <v>1.0000100000904663E-2</v>
      </c>
      <c r="E16" s="25">
        <f>B16*16666.7</f>
        <v>9.3940521222498366E-2</v>
      </c>
      <c r="F16" s="63">
        <f>C16/(B16+B17)</f>
        <v>7.1157369683659671E-5</v>
      </c>
      <c r="G16" s="54">
        <f>F16*10^6*0.0248</f>
        <v>1.7647027681547596</v>
      </c>
      <c r="H16" s="168">
        <f>C16/(C16+C17)</f>
        <v>1.7647027681547598E-6</v>
      </c>
      <c r="K16" s="7" t="s">
        <v>66</v>
      </c>
      <c r="L16" s="7" t="s">
        <v>67</v>
      </c>
      <c r="M16" s="7" t="s">
        <v>68</v>
      </c>
      <c r="O16" s="93" t="s">
        <v>69</v>
      </c>
      <c r="Q16" s="7" t="s">
        <v>70</v>
      </c>
      <c r="R16" s="7" t="s">
        <v>67</v>
      </c>
      <c r="S16" s="7" t="s">
        <v>68</v>
      </c>
    </row>
    <row r="17" spans="1:20" x14ac:dyDescent="0.3">
      <c r="A17" s="6" t="s">
        <v>71</v>
      </c>
      <c r="B17" s="14">
        <f>B15/B9*85</f>
        <v>3.1939713336527302</v>
      </c>
      <c r="C17" s="6">
        <f>B17/0.0248</f>
        <v>128.78916667954559</v>
      </c>
      <c r="D17" s="27">
        <f>C17*C7</f>
        <v>3728.4463753728446</v>
      </c>
      <c r="G17" s="14"/>
      <c r="M17" s="14" t="s">
        <v>72</v>
      </c>
      <c r="N17" s="27"/>
      <c r="O17" s="27">
        <f>O19+O20+O22/1000+O23/1000</f>
        <v>74.873950931144321</v>
      </c>
      <c r="S17" s="14" t="s">
        <v>73</v>
      </c>
      <c r="T17" s="27">
        <f>T19+T20</f>
        <v>4728.456375472846</v>
      </c>
    </row>
    <row r="18" spans="1:20" x14ac:dyDescent="0.3">
      <c r="A18" s="6" t="s">
        <v>74</v>
      </c>
      <c r="B18" s="14">
        <f>B17</f>
        <v>3.1939713336527302</v>
      </c>
      <c r="D18" s="25">
        <f>D17</f>
        <v>3728.4463753728446</v>
      </c>
      <c r="G18" s="14"/>
      <c r="L18" s="7" t="s">
        <v>75</v>
      </c>
      <c r="M18" s="7" t="s">
        <v>76</v>
      </c>
      <c r="N18" s="27"/>
      <c r="O18" s="25"/>
      <c r="R18" s="7" t="s">
        <v>75</v>
      </c>
      <c r="S18" s="7" t="s">
        <v>77</v>
      </c>
      <c r="T18" s="25"/>
    </row>
    <row r="19" spans="1:20" x14ac:dyDescent="0.3">
      <c r="A19" s="6" t="s">
        <v>78</v>
      </c>
      <c r="B19" s="6">
        <f>B15+B17</f>
        <v>3.7576133337090942</v>
      </c>
      <c r="D19" s="14"/>
      <c r="G19" s="14"/>
      <c r="M19" s="14" t="s">
        <v>79</v>
      </c>
      <c r="N19" s="91">
        <f>H30-(N20*0.56)</f>
        <v>66.568941435922568</v>
      </c>
      <c r="O19" s="27">
        <f>N19</f>
        <v>66.568941435922568</v>
      </c>
      <c r="S19" s="14" t="s">
        <v>80</v>
      </c>
      <c r="T19" s="27">
        <f>D15</f>
        <v>1000.0100001000011</v>
      </c>
    </row>
    <row r="20" spans="1:20" x14ac:dyDescent="0.3">
      <c r="A20" s="6" t="s">
        <v>81</v>
      </c>
      <c r="B20" s="6">
        <f>B16+B18</f>
        <v>3.1939769700727307</v>
      </c>
      <c r="H20" s="14"/>
      <c r="I20" s="14"/>
      <c r="J20" s="14"/>
      <c r="M20" s="14" t="s">
        <v>82</v>
      </c>
      <c r="N20" s="91">
        <f>D60</f>
        <v>8.2430776770399383</v>
      </c>
      <c r="O20" s="91">
        <f>N20</f>
        <v>8.2430776770399383</v>
      </c>
      <c r="S20" s="14" t="s">
        <v>83</v>
      </c>
      <c r="T20" s="27">
        <f>D17</f>
        <v>3728.4463753728446</v>
      </c>
    </row>
    <row r="21" spans="1:20" x14ac:dyDescent="0.3">
      <c r="H21" s="14"/>
      <c r="I21" s="14"/>
      <c r="J21" s="14"/>
      <c r="M21" s="14"/>
      <c r="N21" s="91"/>
      <c r="O21" s="91"/>
      <c r="S21" s="14"/>
      <c r="T21" s="27"/>
    </row>
    <row r="22" spans="1:20" x14ac:dyDescent="0.3">
      <c r="B22" s="6" t="s">
        <v>84</v>
      </c>
      <c r="C22" s="6" t="s">
        <v>85</v>
      </c>
      <c r="D22" s="19" t="s">
        <v>86</v>
      </c>
      <c r="E22" s="14">
        <v>0.82</v>
      </c>
      <c r="M22" s="14" t="s">
        <v>87</v>
      </c>
      <c r="N22" s="27">
        <f>H32*1000</f>
        <v>6193.181818181818</v>
      </c>
      <c r="O22" s="14">
        <f>N22*$L$9/100</f>
        <v>61.93181818181818</v>
      </c>
    </row>
    <row r="23" spans="1:20" x14ac:dyDescent="0.3">
      <c r="C23" s="25"/>
      <c r="I23" s="14"/>
      <c r="J23" s="14"/>
      <c r="M23" s="14" t="s">
        <v>88</v>
      </c>
      <c r="N23" s="27">
        <f>H33*1000</f>
        <v>0</v>
      </c>
      <c r="O23" s="14">
        <f>N23*($L$9)/100</f>
        <v>0</v>
      </c>
    </row>
    <row r="24" spans="1:20" x14ac:dyDescent="0.3">
      <c r="A24" s="6" t="s">
        <v>89</v>
      </c>
      <c r="B24" s="13">
        <f>L6/60</f>
        <v>2.0000000000000001E-4</v>
      </c>
      <c r="G24" s="19"/>
      <c r="H24" s="27"/>
      <c r="I24" s="14"/>
      <c r="J24" s="14"/>
    </row>
    <row r="25" spans="1:20" x14ac:dyDescent="0.3">
      <c r="A25" s="6" t="s">
        <v>90</v>
      </c>
      <c r="B25" s="6">
        <f>(F15+F16)/2</f>
        <v>3.0242291270719392</v>
      </c>
      <c r="C25" s="6">
        <f>(F15-F16+E22*F16)/LN(F15/(F16-E22*F16))</f>
        <v>0.46293751137948652</v>
      </c>
      <c r="G25" s="19"/>
      <c r="H25" s="14"/>
      <c r="I25" s="14"/>
      <c r="J25" s="14"/>
      <c r="K25" s="44" t="s">
        <v>91</v>
      </c>
      <c r="L25" s="44" t="s">
        <v>67</v>
      </c>
      <c r="M25" s="44" t="s">
        <v>68</v>
      </c>
      <c r="R25" s="14"/>
    </row>
    <row r="26" spans="1:20" x14ac:dyDescent="0.3">
      <c r="A26" s="10" t="s">
        <v>92</v>
      </c>
      <c r="B26" s="13">
        <f>B25*B24</f>
        <v>6.0484582541438789E-4</v>
      </c>
      <c r="C26" s="13">
        <f>B24*C25</f>
        <v>9.2587502275897306E-5</v>
      </c>
      <c r="G26" s="9"/>
      <c r="K26" s="14"/>
      <c r="L26" s="14"/>
      <c r="M26" s="14" t="s">
        <v>93</v>
      </c>
      <c r="N26" s="26">
        <f>H35+1</f>
        <v>82.168831168831161</v>
      </c>
      <c r="O26" s="25"/>
      <c r="R26" s="14"/>
    </row>
    <row r="27" spans="1:20" x14ac:dyDescent="0.3">
      <c r="A27" s="10" t="s">
        <v>94</v>
      </c>
      <c r="B27" s="18">
        <f>$B$12/(B26*44*3600*0.001)</f>
        <v>10.437587642778395</v>
      </c>
      <c r="C27" s="18">
        <f>$B$12/(C26*44*3600*0.001)</f>
        <v>68.185566712007187</v>
      </c>
      <c r="K27" s="14"/>
      <c r="L27" s="14"/>
      <c r="M27" s="14"/>
      <c r="N27" s="14"/>
      <c r="R27" s="14"/>
    </row>
    <row r="28" spans="1:20" x14ac:dyDescent="0.3">
      <c r="K28" s="14"/>
      <c r="L28" s="44" t="s">
        <v>75</v>
      </c>
      <c r="M28" s="44" t="s">
        <v>76</v>
      </c>
      <c r="N28" s="14"/>
      <c r="O28" s="14"/>
      <c r="P28" s="14"/>
      <c r="Q28" s="14"/>
      <c r="R28" s="14"/>
    </row>
    <row r="29" spans="1:20" x14ac:dyDescent="0.3">
      <c r="A29" s="80" t="s">
        <v>95</v>
      </c>
      <c r="B29" s="8" t="s">
        <v>96</v>
      </c>
      <c r="C29" s="8" t="s">
        <v>97</v>
      </c>
      <c r="D29" s="8" t="s">
        <v>98</v>
      </c>
      <c r="E29" s="8" t="s">
        <v>99</v>
      </c>
      <c r="F29" s="8" t="s">
        <v>100</v>
      </c>
      <c r="G29" s="8" t="s">
        <v>101</v>
      </c>
      <c r="H29" s="8" t="s">
        <v>69</v>
      </c>
      <c r="I29" s="8"/>
      <c r="L29" s="14"/>
      <c r="M29" s="14" t="s">
        <v>102</v>
      </c>
      <c r="N29" s="27">
        <f>H35</f>
        <v>81.168831168831161</v>
      </c>
      <c r="O29" s="14"/>
      <c r="P29" s="14"/>
      <c r="Q29" s="14"/>
      <c r="R29" s="14"/>
    </row>
    <row r="30" spans="1:20" x14ac:dyDescent="0.3">
      <c r="A30" s="6" t="s">
        <v>103</v>
      </c>
      <c r="D30" s="6">
        <v>1</v>
      </c>
      <c r="E30" s="174">
        <v>0.877</v>
      </c>
      <c r="F30" s="174">
        <v>0.92589999999999995</v>
      </c>
      <c r="G30" s="6">
        <v>1</v>
      </c>
      <c r="H30" s="26" cm="1">
        <f t="array" ref="H30">_xlfn.IFS(L4=1,H35*E30,L5=1,F30*H35)</f>
        <v>71.185064935064929</v>
      </c>
      <c r="I30" s="23"/>
      <c r="L30" s="14"/>
      <c r="M30" s="14" t="s">
        <v>104</v>
      </c>
      <c r="N30" s="14">
        <f>T17/1000</f>
        <v>4.7284563754728461</v>
      </c>
      <c r="O30" s="14"/>
      <c r="P30" s="14"/>
      <c r="Q30" s="14"/>
      <c r="R30" s="14"/>
    </row>
    <row r="31" spans="1:20" x14ac:dyDescent="0.3">
      <c r="A31" s="6" t="s">
        <v>105</v>
      </c>
      <c r="B31" s="6">
        <v>0.5</v>
      </c>
      <c r="C31" s="6">
        <v>106</v>
      </c>
      <c r="D31" s="11">
        <f>B31*C31/1000</f>
        <v>5.2999999999999999E-2</v>
      </c>
      <c r="E31" s="174">
        <v>4.6399999999999997E-2</v>
      </c>
      <c r="F31" s="174">
        <v>4.9000000000000002E-2</v>
      </c>
      <c r="G31" s="6">
        <v>2.54</v>
      </c>
      <c r="H31" s="6" cm="1">
        <f t="array" ref="H31">_xlfn.IFS(L4=1,H35*E31,L5=1,F31*H35)</f>
        <v>3.7662337662337655</v>
      </c>
      <c r="I31" s="23"/>
      <c r="L31" s="14"/>
      <c r="M31" s="14" t="s">
        <v>106</v>
      </c>
      <c r="N31" s="14">
        <f>C41</f>
        <v>8.8590635856915405</v>
      </c>
      <c r="O31" s="14"/>
      <c r="P31" s="14"/>
      <c r="Q31" s="14"/>
      <c r="R31" s="14"/>
    </row>
    <row r="32" spans="1:20" x14ac:dyDescent="0.3">
      <c r="A32" s="6" t="s">
        <v>31</v>
      </c>
      <c r="B32" s="6">
        <f>0.5*L4</f>
        <v>0.5</v>
      </c>
      <c r="C32" s="6">
        <v>174.2</v>
      </c>
      <c r="D32" s="11">
        <f>0.5*C32/1000</f>
        <v>8.7099999999999997E-2</v>
      </c>
      <c r="E32" s="174">
        <v>7.6300000000000007E-2</v>
      </c>
      <c r="F32" s="174"/>
      <c r="G32" s="6">
        <v>1.42</v>
      </c>
      <c r="H32" s="6">
        <f>IF(L4=1,E32*H35)</f>
        <v>6.1931818181818183</v>
      </c>
      <c r="I32" s="23"/>
      <c r="L32" s="14"/>
      <c r="M32" s="14" t="s">
        <v>107</v>
      </c>
      <c r="N32" s="5">
        <f>B27</f>
        <v>10.437587642778395</v>
      </c>
      <c r="O32" s="91">
        <f>N32/Global!B8*10000</f>
        <v>2.3830108773466656</v>
      </c>
      <c r="P32" s="14" t="s">
        <v>108</v>
      </c>
      <c r="Q32" s="4" t="s">
        <v>109</v>
      </c>
      <c r="R32" s="14"/>
    </row>
    <row r="33" spans="1:18" x14ac:dyDescent="0.3">
      <c r="A33" s="6" t="s">
        <v>39</v>
      </c>
      <c r="B33" s="6">
        <f>L5*0.3</f>
        <v>0</v>
      </c>
      <c r="C33" s="6">
        <v>89.093000000000004</v>
      </c>
      <c r="D33" s="11">
        <f>0.3*C33/1000</f>
        <v>2.6727900000000002E-2</v>
      </c>
      <c r="F33" s="174">
        <v>2.5000000000000001E-2</v>
      </c>
      <c r="G33" s="11">
        <v>1.093</v>
      </c>
      <c r="H33" s="6" t="b">
        <f>IF(L5=1,F33*H35)</f>
        <v>0</v>
      </c>
      <c r="I33" s="23"/>
      <c r="L33" s="14"/>
      <c r="M33" s="14" t="s">
        <v>110</v>
      </c>
      <c r="N33" s="27">
        <f>F53</f>
        <v>1896.48</v>
      </c>
      <c r="O33" s="14"/>
      <c r="P33" s="14"/>
      <c r="Q33" s="14"/>
      <c r="R33" s="14"/>
    </row>
    <row r="34" spans="1:18" x14ac:dyDescent="0.3">
      <c r="A34" s="6" t="s">
        <v>48</v>
      </c>
      <c r="L34" s="14"/>
      <c r="M34" s="14"/>
      <c r="N34" s="14"/>
      <c r="O34" s="14"/>
      <c r="P34" s="14"/>
      <c r="Q34" s="14"/>
      <c r="R34" s="14"/>
    </row>
    <row r="35" spans="1:18" x14ac:dyDescent="0.3">
      <c r="A35" s="6" t="s">
        <v>111</v>
      </c>
      <c r="G35" s="6">
        <f>(G30*E30*L4)+(G31*E31*L4)+(G32*E32*L4)+(F30*G30*L5)+(F31*G31*L5)+(G33*F33*L5)</f>
        <v>1.103202</v>
      </c>
      <c r="H35" s="26">
        <f>C12/L7</f>
        <v>81.168831168831161</v>
      </c>
      <c r="I35" s="23"/>
      <c r="L35" s="91"/>
      <c r="R35" s="14"/>
    </row>
    <row r="36" spans="1:18" x14ac:dyDescent="0.3">
      <c r="H36" s="140">
        <f>SUM(H30:H33)</f>
        <v>81.14448051948051</v>
      </c>
    </row>
    <row r="37" spans="1:18" x14ac:dyDescent="0.3">
      <c r="A37" s="7" t="s">
        <v>112</v>
      </c>
      <c r="B37" s="8" t="s">
        <v>113</v>
      </c>
      <c r="C37" s="8" t="s">
        <v>114</v>
      </c>
      <c r="D37" s="8" t="s">
        <v>115</v>
      </c>
      <c r="E37" s="8" t="s">
        <v>116</v>
      </c>
      <c r="F37" s="8" t="s">
        <v>117</v>
      </c>
      <c r="K37" s="7" t="s">
        <v>118</v>
      </c>
      <c r="L37" s="7"/>
      <c r="M37" s="7" t="s">
        <v>68</v>
      </c>
      <c r="O37" s="93" t="s">
        <v>69</v>
      </c>
      <c r="P37" s="6" t="s">
        <v>119</v>
      </c>
    </row>
    <row r="38" spans="1:18" x14ac:dyDescent="0.3">
      <c r="A38" s="6" t="s">
        <v>120</v>
      </c>
      <c r="B38" s="18">
        <f>B27</f>
        <v>10.437587642778395</v>
      </c>
      <c r="C38" s="13">
        <f>0.9*10^-6</f>
        <v>8.9999999999999996E-7</v>
      </c>
      <c r="D38" s="13">
        <f>(Global!B17-Global!B18)*10^-6</f>
        <v>2.9999999999999997E-5</v>
      </c>
      <c r="E38" s="15">
        <f>D38*B38</f>
        <v>3.1312762928335184E-4</v>
      </c>
      <c r="F38" s="54">
        <f>E38*C38</f>
        <v>2.8181486635501665E-10</v>
      </c>
      <c r="M38" s="14" t="s">
        <v>72</v>
      </c>
      <c r="N38" s="27">
        <f>G50</f>
        <v>0</v>
      </c>
      <c r="O38" s="27">
        <f>O40+O41+O42/1000+O43/1000+O44</f>
        <v>76.283017749085232</v>
      </c>
    </row>
    <row r="39" spans="1:18" x14ac:dyDescent="0.3">
      <c r="L39" s="7"/>
      <c r="M39" s="7" t="s">
        <v>76</v>
      </c>
      <c r="N39" s="27"/>
      <c r="O39" s="25"/>
    </row>
    <row r="40" spans="1:18" x14ac:dyDescent="0.3">
      <c r="B40" s="8" t="s">
        <v>121</v>
      </c>
      <c r="C40" s="8" t="s">
        <v>58</v>
      </c>
      <c r="G40" s="14"/>
      <c r="M40" s="14" t="s">
        <v>79</v>
      </c>
      <c r="N40" s="91">
        <f>N19</f>
        <v>66.568941435922568</v>
      </c>
      <c r="O40" s="91">
        <f>N40</f>
        <v>66.568941435922568</v>
      </c>
    </row>
    <row r="41" spans="1:18" x14ac:dyDescent="0.3">
      <c r="A41" s="6" t="s">
        <v>122</v>
      </c>
      <c r="B41" s="6">
        <f>5.5/36/0.18</f>
        <v>0.84876543209876554</v>
      </c>
      <c r="C41" s="6">
        <f>B41*B38</f>
        <v>8.8590635856915405</v>
      </c>
      <c r="M41" s="14" t="s">
        <v>82</v>
      </c>
      <c r="N41" s="91">
        <f>N20-(C15*C31/1000)</f>
        <v>5.8339626767990271</v>
      </c>
      <c r="O41" s="91">
        <f>N41</f>
        <v>5.8339626767990271</v>
      </c>
    </row>
    <row r="42" spans="1:18" x14ac:dyDescent="0.3">
      <c r="M42" s="14" t="s">
        <v>87</v>
      </c>
      <c r="N42" s="27">
        <f>N22</f>
        <v>6193.181818181818</v>
      </c>
      <c r="O42" s="14">
        <f>N42*$L$9/100</f>
        <v>61.93181818181818</v>
      </c>
    </row>
    <row r="43" spans="1:18" x14ac:dyDescent="0.3">
      <c r="A43" s="7" t="s">
        <v>123</v>
      </c>
      <c r="E43" s="8" t="s">
        <v>124</v>
      </c>
      <c r="F43" s="8" t="s">
        <v>125</v>
      </c>
      <c r="M43" s="14" t="s">
        <v>88</v>
      </c>
      <c r="N43" s="27">
        <f>N23</f>
        <v>0</v>
      </c>
      <c r="O43" s="14">
        <f>N43*($L$9)/100</f>
        <v>0</v>
      </c>
    </row>
    <row r="44" spans="1:18" x14ac:dyDescent="0.3">
      <c r="A44" s="6" t="s">
        <v>126</v>
      </c>
      <c r="E44" s="6">
        <v>16</v>
      </c>
      <c r="F44" s="14">
        <f>E44*3600/1000</f>
        <v>57.6</v>
      </c>
      <c r="M44" s="128" t="s">
        <v>127</v>
      </c>
      <c r="N44" s="128">
        <f>L11*H30*0.084</f>
        <v>3.8181818181818183</v>
      </c>
      <c r="O44" s="128">
        <f>N44</f>
        <v>3.8181818181818183</v>
      </c>
      <c r="P44" s="128"/>
    </row>
    <row r="45" spans="1:18" x14ac:dyDescent="0.3">
      <c r="A45" s="6" t="s">
        <v>128</v>
      </c>
      <c r="E45" s="6">
        <v>80</v>
      </c>
      <c r="F45" s="14">
        <f>E45*3600/1000</f>
        <v>288</v>
      </c>
    </row>
    <row r="46" spans="1:18" x14ac:dyDescent="0.3">
      <c r="A46" s="6" t="s">
        <v>129</v>
      </c>
      <c r="E46" s="140">
        <f>101325*H35/(1000*3600)/Global!B25</f>
        <v>4.5691287878787872</v>
      </c>
      <c r="F46" s="14"/>
    </row>
    <row r="47" spans="1:18" x14ac:dyDescent="0.3">
      <c r="A47" s="159" t="s">
        <v>130</v>
      </c>
      <c r="B47" s="140" t="s">
        <v>131</v>
      </c>
      <c r="C47" s="140" t="s">
        <v>132</v>
      </c>
      <c r="D47" s="160">
        <f>2.5*24</f>
        <v>60</v>
      </c>
      <c r="F47" s="14"/>
    </row>
    <row r="48" spans="1:18" x14ac:dyDescent="0.3">
      <c r="A48" s="159" t="s">
        <v>133</v>
      </c>
      <c r="B48" s="140" t="s">
        <v>134</v>
      </c>
      <c r="C48" s="140" t="s">
        <v>135</v>
      </c>
      <c r="D48" s="160">
        <v>0.8</v>
      </c>
      <c r="F48" s="14"/>
    </row>
    <row r="49" spans="1:6" x14ac:dyDescent="0.3">
      <c r="A49" s="6" t="s">
        <v>136</v>
      </c>
      <c r="C49" s="14"/>
      <c r="E49" s="6">
        <f>D47+D48</f>
        <v>60.8</v>
      </c>
      <c r="F49" s="14">
        <f>E49*3600/1000</f>
        <v>218.88</v>
      </c>
    </row>
    <row r="50" spans="1:6" x14ac:dyDescent="0.3">
      <c r="A50" s="6" t="s">
        <v>137</v>
      </c>
      <c r="E50" s="140">
        <v>220</v>
      </c>
      <c r="F50" s="14"/>
    </row>
    <row r="51" spans="1:6" x14ac:dyDescent="0.3">
      <c r="A51" s="6" t="s">
        <v>138</v>
      </c>
      <c r="E51" s="140">
        <v>750</v>
      </c>
      <c r="F51" s="14"/>
    </row>
    <row r="52" spans="1:6" x14ac:dyDescent="0.3">
      <c r="A52" s="6" t="s">
        <v>139</v>
      </c>
      <c r="E52" s="6">
        <v>370</v>
      </c>
      <c r="F52" s="14">
        <f t="shared" ref="F52" si="0">E52*3600/1000</f>
        <v>1332</v>
      </c>
    </row>
    <row r="53" spans="1:6" x14ac:dyDescent="0.3">
      <c r="A53" s="6" t="s">
        <v>140</v>
      </c>
      <c r="F53" s="119">
        <f>SUM(F44:F52)</f>
        <v>1896.48</v>
      </c>
    </row>
    <row r="54" spans="1:6" x14ac:dyDescent="0.3">
      <c r="A54" s="237"/>
      <c r="B54" s="237"/>
    </row>
    <row r="55" spans="1:6" x14ac:dyDescent="0.3">
      <c r="A55" s="238"/>
      <c r="B55" s="237"/>
    </row>
    <row r="56" spans="1:6" x14ac:dyDescent="0.3">
      <c r="A56" s="237"/>
      <c r="B56" s="237"/>
    </row>
    <row r="57" spans="1:6" x14ac:dyDescent="0.3">
      <c r="A57" s="237"/>
      <c r="B57" s="237"/>
    </row>
    <row r="59" spans="1:6" x14ac:dyDescent="0.3">
      <c r="B59" s="8" t="s">
        <v>34</v>
      </c>
      <c r="C59" s="8" t="s">
        <v>141</v>
      </c>
      <c r="D59" s="8" t="s">
        <v>69</v>
      </c>
    </row>
    <row r="60" spans="1:6" x14ac:dyDescent="0.3">
      <c r="A60" s="6" t="s">
        <v>142</v>
      </c>
      <c r="B60" s="6">
        <f>B61+B62</f>
        <v>232</v>
      </c>
      <c r="D60" s="6">
        <f>D61/C61</f>
        <v>8.2430776770399383</v>
      </c>
    </row>
    <row r="61" spans="1:6" x14ac:dyDescent="0.3">
      <c r="A61" s="6" t="s">
        <v>105</v>
      </c>
      <c r="B61" s="6">
        <v>106</v>
      </c>
      <c r="C61" s="6">
        <f>B61/B60</f>
        <v>0.45689655172413796</v>
      </c>
      <c r="D61" s="6">
        <f>H31</f>
        <v>3.7662337662337655</v>
      </c>
    </row>
    <row r="62" spans="1:6" x14ac:dyDescent="0.3">
      <c r="A62" s="6" t="s">
        <v>143</v>
      </c>
      <c r="B62" s="6">
        <v>126</v>
      </c>
      <c r="C62" s="6">
        <f>B62/B60</f>
        <v>0.5431034482758621</v>
      </c>
    </row>
    <row r="63" spans="1:6" x14ac:dyDescent="0.3">
      <c r="B63" s="8" t="s">
        <v>144</v>
      </c>
      <c r="C63" s="8" t="s">
        <v>145</v>
      </c>
    </row>
    <row r="64" spans="1:6" x14ac:dyDescent="0.3">
      <c r="A64" s="6" t="s">
        <v>142</v>
      </c>
      <c r="B64" s="6">
        <v>0.5</v>
      </c>
      <c r="C64" s="6">
        <f>B64*B60</f>
        <v>116</v>
      </c>
    </row>
    <row r="72" spans="3:4" x14ac:dyDescent="0.3">
      <c r="C72" s="112"/>
      <c r="D72" s="112"/>
    </row>
    <row r="73" spans="3:4" x14ac:dyDescent="0.3">
      <c r="C73" s="112"/>
      <c r="D73" s="112"/>
    </row>
    <row r="74" spans="3:4" x14ac:dyDescent="0.3">
      <c r="C74" s="112"/>
      <c r="D74" s="112"/>
    </row>
    <row r="75" spans="3:4" x14ac:dyDescent="0.3">
      <c r="C75" s="112"/>
      <c r="D75" s="112"/>
    </row>
  </sheetData>
  <pageMargins left="0.7" right="0.7" top="0.75" bottom="0.75" header="0.3" footer="0.3"/>
  <pageSetup paperSize="9" orientation="portrait" r:id="rId1"/>
  <ignoredErrors>
    <ignoredError sqref="N41" formula="1"/>
  </ignoredError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0F072-EBAF-427B-91AA-E45861A7D7EE}">
  <sheetPr codeName="Feuil4">
    <pageSetUpPr fitToPage="1"/>
  </sheetPr>
  <dimension ref="A1:Y50"/>
  <sheetViews>
    <sheetView tabSelected="1" zoomScale="69" zoomScaleNormal="85" workbookViewId="0">
      <pane ySplit="2" topLeftCell="A3" activePane="bottomLeft" state="frozen"/>
      <selection pane="bottomLeft" activeCell="E12" sqref="E12"/>
    </sheetView>
  </sheetViews>
  <sheetFormatPr baseColWidth="10" defaultColWidth="11.5546875" defaultRowHeight="14.4" x14ac:dyDescent="0.3"/>
  <cols>
    <col min="1" max="1" width="13.88671875" style="40" customWidth="1"/>
    <col min="2" max="2" width="19.5546875" style="49" bestFit="1" customWidth="1"/>
    <col min="3" max="3" width="16.5546875" style="200" customWidth="1"/>
    <col min="4" max="4" width="12.5546875" style="200" customWidth="1"/>
    <col min="5" max="7" width="11.5546875" style="126"/>
    <col min="8" max="8" width="11.5546875" style="22"/>
    <col min="9" max="9" width="12.33203125" style="200" bestFit="1" customWidth="1"/>
    <col min="10" max="16384" width="11.5546875" style="40"/>
  </cols>
  <sheetData>
    <row r="1" spans="1:9" ht="11.4" customHeight="1" x14ac:dyDescent="0.3"/>
    <row r="2" spans="1:9" x14ac:dyDescent="0.3">
      <c r="A2" s="104" t="s">
        <v>146</v>
      </c>
      <c r="C2" s="196"/>
      <c r="D2" s="196"/>
      <c r="E2" s="212" t="s">
        <v>147</v>
      </c>
      <c r="F2" s="212" t="s">
        <v>148</v>
      </c>
      <c r="G2" s="212" t="s">
        <v>149</v>
      </c>
      <c r="H2" s="185" t="s">
        <v>150</v>
      </c>
      <c r="I2" s="196"/>
    </row>
    <row r="3" spans="1:9" ht="15" customHeight="1" x14ac:dyDescent="0.3">
      <c r="I3" s="226"/>
    </row>
    <row r="4" spans="1:9" x14ac:dyDescent="0.3">
      <c r="A4" s="96"/>
      <c r="B4" s="51" t="s">
        <v>151</v>
      </c>
    </row>
    <row r="5" spans="1:9" s="111" customFormat="1" ht="15.6" customHeight="1" x14ac:dyDescent="0.3">
      <c r="A5" s="109"/>
      <c r="B5" s="110" t="s">
        <v>152</v>
      </c>
      <c r="C5" s="208" t="s">
        <v>153</v>
      </c>
      <c r="D5" s="208">
        <v>0.99</v>
      </c>
      <c r="E5" s="213">
        <v>0.999</v>
      </c>
      <c r="F5" s="213">
        <v>0.98699999999999999</v>
      </c>
      <c r="G5" s="213">
        <v>0.93300000000000005</v>
      </c>
      <c r="H5" s="187">
        <v>0.81799999999999995</v>
      </c>
      <c r="I5" s="208">
        <v>0.63</v>
      </c>
    </row>
    <row r="6" spans="1:9" ht="14.4" customHeight="1" x14ac:dyDescent="0.3">
      <c r="A6" s="241"/>
      <c r="B6" s="51" t="s">
        <v>154</v>
      </c>
      <c r="C6" s="209"/>
      <c r="D6" s="218"/>
    </row>
    <row r="7" spans="1:9" ht="15" customHeight="1" x14ac:dyDescent="0.3">
      <c r="A7" s="241"/>
      <c r="B7" s="40"/>
    </row>
    <row r="8" spans="1:9" ht="14.4" customHeight="1" x14ac:dyDescent="0.3">
      <c r="A8" s="241"/>
      <c r="B8" s="51" t="s">
        <v>155</v>
      </c>
      <c r="C8" s="210">
        <v>4728</v>
      </c>
      <c r="D8" s="119">
        <v>4776</v>
      </c>
      <c r="E8" s="126">
        <v>4733</v>
      </c>
      <c r="F8" s="126">
        <v>4791</v>
      </c>
      <c r="G8" s="126">
        <v>5068</v>
      </c>
      <c r="H8" s="22">
        <v>5780</v>
      </c>
      <c r="I8" s="200">
        <v>7505</v>
      </c>
    </row>
    <row r="9" spans="1:9" x14ac:dyDescent="0.3">
      <c r="A9" s="239"/>
      <c r="B9" s="51" t="s">
        <v>156</v>
      </c>
      <c r="C9" s="200">
        <v>22.73</v>
      </c>
      <c r="D9" s="200">
        <v>22.96</v>
      </c>
      <c r="E9" s="211">
        <v>22.75</v>
      </c>
      <c r="F9" s="211">
        <v>23.03</v>
      </c>
      <c r="G9" s="211">
        <v>24.36</v>
      </c>
      <c r="H9" s="188">
        <v>27.78</v>
      </c>
      <c r="I9" s="200">
        <v>36.08</v>
      </c>
    </row>
    <row r="10" spans="1:9" x14ac:dyDescent="0.3">
      <c r="A10" s="239"/>
      <c r="B10" s="51" t="s">
        <v>157</v>
      </c>
      <c r="C10" s="200">
        <v>0</v>
      </c>
      <c r="D10" s="200">
        <v>0.23</v>
      </c>
      <c r="E10" s="126">
        <v>0.02</v>
      </c>
      <c r="F10" s="211">
        <v>0.03</v>
      </c>
      <c r="G10" s="211">
        <v>1.63</v>
      </c>
      <c r="H10" s="188">
        <v>5.0599999999999996</v>
      </c>
      <c r="I10" s="200">
        <v>13.35</v>
      </c>
    </row>
    <row r="11" spans="1:9" x14ac:dyDescent="0.3">
      <c r="A11" s="239"/>
      <c r="B11" s="51" t="s">
        <v>158</v>
      </c>
      <c r="C11" s="200">
        <v>128.79</v>
      </c>
      <c r="D11" s="200">
        <v>130.09</v>
      </c>
      <c r="E11" s="126">
        <v>128.91999999999999</v>
      </c>
      <c r="F11" s="211">
        <v>130.47999999999999</v>
      </c>
      <c r="G11" s="211">
        <v>138.04</v>
      </c>
      <c r="H11" s="188">
        <v>157.44</v>
      </c>
      <c r="I11" s="200">
        <v>204.43</v>
      </c>
    </row>
    <row r="13" spans="1:9" s="163" customFormat="1" x14ac:dyDescent="0.3">
      <c r="B13" s="51" t="s">
        <v>78</v>
      </c>
      <c r="C13" s="200">
        <v>3.76</v>
      </c>
      <c r="D13" s="200">
        <v>3.8</v>
      </c>
      <c r="E13" s="126">
        <v>3.76</v>
      </c>
      <c r="F13" s="211">
        <v>3.81</v>
      </c>
      <c r="G13" s="211">
        <v>4.03</v>
      </c>
      <c r="H13" s="188">
        <v>4.59</v>
      </c>
      <c r="I13" s="200">
        <v>5.96</v>
      </c>
    </row>
    <row r="14" spans="1:9" s="163" customFormat="1" x14ac:dyDescent="0.3">
      <c r="B14" s="51" t="s">
        <v>159</v>
      </c>
      <c r="C14" s="200">
        <v>3.19</v>
      </c>
      <c r="D14" s="200">
        <v>3.23</v>
      </c>
      <c r="E14" s="126">
        <v>3.2</v>
      </c>
      <c r="F14" s="211">
        <v>3.24</v>
      </c>
      <c r="G14" s="211">
        <v>3.46</v>
      </c>
      <c r="H14" s="188">
        <v>4.03</v>
      </c>
      <c r="I14" s="200">
        <v>5.4</v>
      </c>
    </row>
    <row r="16" spans="1:9" s="163" customFormat="1" x14ac:dyDescent="0.3">
      <c r="B16" s="51" t="s">
        <v>160</v>
      </c>
      <c r="C16" s="200">
        <v>6.05</v>
      </c>
      <c r="D16" s="200">
        <v>6.05</v>
      </c>
      <c r="E16" s="126">
        <v>6.05</v>
      </c>
      <c r="F16" s="211">
        <v>6.05</v>
      </c>
      <c r="G16" s="211">
        <v>6.05</v>
      </c>
      <c r="H16" s="188">
        <v>6.05</v>
      </c>
      <c r="I16" s="200">
        <v>6.05</v>
      </c>
    </row>
    <row r="17" spans="2:25" s="163" customFormat="1" x14ac:dyDescent="0.3">
      <c r="B17" s="51" t="s">
        <v>161</v>
      </c>
      <c r="C17" s="200">
        <v>0</v>
      </c>
      <c r="D17" s="200">
        <v>7.0999999999999994E-2</v>
      </c>
      <c r="E17" s="126">
        <v>7.0000000000000001E-3</v>
      </c>
      <c r="F17" s="211">
        <v>9.1999999999999998E-2</v>
      </c>
      <c r="G17" s="211">
        <v>0.47099999999999997</v>
      </c>
      <c r="H17" s="189">
        <v>1255</v>
      </c>
      <c r="I17" s="221">
        <v>2471</v>
      </c>
    </row>
    <row r="18" spans="2:25" s="101" customFormat="1" x14ac:dyDescent="0.3">
      <c r="B18" s="102"/>
      <c r="C18" s="90"/>
      <c r="D18" s="90"/>
      <c r="E18" s="130"/>
      <c r="F18" s="130"/>
      <c r="G18" s="130"/>
      <c r="H18" s="186"/>
      <c r="I18" s="90"/>
    </row>
    <row r="19" spans="2:25" x14ac:dyDescent="0.3">
      <c r="B19" s="52" t="s">
        <v>31</v>
      </c>
      <c r="C19" s="196" t="s">
        <v>162</v>
      </c>
      <c r="E19" s="212" t="s">
        <v>163</v>
      </c>
      <c r="F19" s="212" t="s">
        <v>164</v>
      </c>
      <c r="G19" s="212" t="s">
        <v>165</v>
      </c>
      <c r="H19" s="185" t="s">
        <v>166</v>
      </c>
      <c r="I19" s="196"/>
      <c r="Y19"/>
    </row>
    <row r="20" spans="2:25" x14ac:dyDescent="0.3">
      <c r="B20" s="51" t="s">
        <v>168</v>
      </c>
      <c r="C20" s="200">
        <v>3.02</v>
      </c>
      <c r="E20" s="224">
        <v>0.89600000000000002</v>
      </c>
      <c r="F20" s="224">
        <v>1.4239999999999999</v>
      </c>
      <c r="G20" s="224">
        <v>2.1850000000000001</v>
      </c>
      <c r="H20" s="190">
        <v>2.87</v>
      </c>
    </row>
    <row r="21" spans="2:25" s="50" customFormat="1" x14ac:dyDescent="0.3">
      <c r="B21" s="105" t="s">
        <v>169</v>
      </c>
      <c r="C21" s="209">
        <v>1.2E-2</v>
      </c>
      <c r="D21" s="209"/>
      <c r="E21" s="134">
        <v>6.0000000000000001E-3</v>
      </c>
      <c r="F21" s="134">
        <v>4.7699999999999999E-3</v>
      </c>
      <c r="G21" s="134">
        <v>3.6653492202445306E-3</v>
      </c>
      <c r="H21" s="191">
        <v>2.7499999999999998E-3</v>
      </c>
      <c r="I21" s="209"/>
    </row>
    <row r="22" spans="2:25" s="50" customFormat="1" x14ac:dyDescent="0.3">
      <c r="B22" s="105" t="s">
        <v>170</v>
      </c>
      <c r="C22" s="209">
        <v>6.0499999999999996E-4</v>
      </c>
      <c r="D22" s="219"/>
      <c r="E22" s="134">
        <v>8.9599999999999996E-5</v>
      </c>
      <c r="F22" s="134">
        <v>1.13E-4</v>
      </c>
      <c r="G22" s="134">
        <v>1.3300000000000001E-4</v>
      </c>
      <c r="H22" s="192">
        <v>8.4699999999999999E-5</v>
      </c>
      <c r="I22" s="209"/>
    </row>
    <row r="23" spans="2:25" x14ac:dyDescent="0.3">
      <c r="B23" s="51" t="s">
        <v>171</v>
      </c>
      <c r="C23" s="198">
        <v>10.44</v>
      </c>
      <c r="D23" s="90"/>
      <c r="E23" s="215">
        <v>70</v>
      </c>
      <c r="F23" s="215">
        <v>57</v>
      </c>
      <c r="G23" s="215">
        <v>47</v>
      </c>
      <c r="H23" s="193">
        <v>48</v>
      </c>
      <c r="I23" s="198"/>
    </row>
    <row r="24" spans="2:25" x14ac:dyDescent="0.3">
      <c r="B24" s="51" t="s">
        <v>172</v>
      </c>
      <c r="C24" s="230">
        <f>C23/(Global!$B$5*24*365)*10000</f>
        <v>2.3835616438356162</v>
      </c>
      <c r="D24" s="42"/>
      <c r="E24" s="216">
        <f>E23/(Global!$B$5*24*365)*10000</f>
        <v>15.981735159817353</v>
      </c>
      <c r="F24" s="216">
        <f>F23/(Global!$B$5*24*365)*10000</f>
        <v>13.013698630136986</v>
      </c>
      <c r="G24" s="216">
        <f>G23/(Global!$B$5*24*365)*10000</f>
        <v>10.730593607305936</v>
      </c>
      <c r="H24" s="194">
        <f>H23/(Global!$B$5*24*365)*10000</f>
        <v>10.95890410958904</v>
      </c>
      <c r="I24" s="198"/>
    </row>
    <row r="25" spans="2:25" s="100" customFormat="1" x14ac:dyDescent="0.3">
      <c r="B25" s="106" t="s">
        <v>173</v>
      </c>
      <c r="C25" s="199">
        <v>0.28000000000000003</v>
      </c>
      <c r="D25" s="220"/>
      <c r="E25" s="217">
        <v>0.3</v>
      </c>
      <c r="F25" s="217">
        <v>0.4</v>
      </c>
      <c r="G25" s="217">
        <v>0.5</v>
      </c>
      <c r="H25" s="195">
        <v>0.56134871136854791</v>
      </c>
      <c r="I25" s="199"/>
    </row>
    <row r="26" spans="2:25" x14ac:dyDescent="0.3">
      <c r="B26" s="51" t="s">
        <v>174</v>
      </c>
      <c r="C26" s="210">
        <v>81.5</v>
      </c>
      <c r="D26" s="90"/>
      <c r="E26" s="211">
        <v>76</v>
      </c>
      <c r="F26" s="211">
        <v>57</v>
      </c>
      <c r="G26" s="225">
        <v>45</v>
      </c>
      <c r="H26" s="188">
        <v>41</v>
      </c>
    </row>
    <row r="27" spans="2:25" x14ac:dyDescent="0.3">
      <c r="B27" s="51" t="s">
        <v>175</v>
      </c>
      <c r="C27" s="200">
        <v>71</v>
      </c>
      <c r="D27" s="90"/>
      <c r="E27" s="126">
        <v>66</v>
      </c>
      <c r="F27" s="126">
        <v>50</v>
      </c>
      <c r="G27" s="126">
        <v>40</v>
      </c>
      <c r="H27" s="22">
        <v>36</v>
      </c>
    </row>
    <row r="28" spans="2:25" x14ac:dyDescent="0.3">
      <c r="B28" s="51" t="s">
        <v>176</v>
      </c>
      <c r="C28" s="198">
        <v>1896</v>
      </c>
      <c r="D28" s="90"/>
      <c r="E28" s="215">
        <v>1896</v>
      </c>
      <c r="F28" s="215">
        <v>1896</v>
      </c>
      <c r="G28" s="215">
        <v>1896</v>
      </c>
      <c r="H28" s="193">
        <v>1896</v>
      </c>
      <c r="I28" s="198"/>
    </row>
    <row r="29" spans="2:25" s="101" customFormat="1" x14ac:dyDescent="0.3">
      <c r="B29" s="51" t="s">
        <v>177</v>
      </c>
      <c r="C29" s="222">
        <v>8.86</v>
      </c>
      <c r="D29" s="90"/>
      <c r="E29" s="214">
        <f>0.85*E23</f>
        <v>59.5</v>
      </c>
      <c r="F29" s="214">
        <f>0.85*F23</f>
        <v>48.449999999999996</v>
      </c>
      <c r="G29" s="214">
        <f>0.85*G23</f>
        <v>39.949999999999996</v>
      </c>
      <c r="H29" s="42">
        <f>0.85*H23</f>
        <v>40.799999999999997</v>
      </c>
      <c r="I29" s="90"/>
    </row>
    <row r="30" spans="2:25" x14ac:dyDescent="0.3">
      <c r="B30" s="114" t="s">
        <v>39</v>
      </c>
      <c r="C30" s="196"/>
      <c r="D30" s="196" t="s">
        <v>178</v>
      </c>
      <c r="E30" s="212"/>
      <c r="F30" s="212"/>
      <c r="G30" s="212"/>
      <c r="H30" s="196"/>
      <c r="I30" s="196" t="s">
        <v>179</v>
      </c>
    </row>
    <row r="31" spans="2:25" x14ac:dyDescent="0.3">
      <c r="B31" s="51" t="s">
        <v>168</v>
      </c>
      <c r="C31" s="1"/>
      <c r="D31" s="223">
        <v>3.06</v>
      </c>
      <c r="H31" s="1"/>
      <c r="I31" s="228">
        <v>2.87</v>
      </c>
    </row>
    <row r="32" spans="2:25" x14ac:dyDescent="0.3">
      <c r="B32" s="105" t="s">
        <v>180</v>
      </c>
      <c r="C32" s="1"/>
      <c r="D32" s="209">
        <v>3.2000000000000002E-3</v>
      </c>
      <c r="H32" s="1"/>
      <c r="I32" s="197">
        <v>7.5299999999999998E-4</v>
      </c>
    </row>
    <row r="33" spans="2:18" s="50" customFormat="1" x14ac:dyDescent="0.3">
      <c r="B33" s="51" t="s">
        <v>170</v>
      </c>
      <c r="C33" s="197"/>
      <c r="D33" s="209">
        <v>1.63E-4</v>
      </c>
      <c r="E33" s="134"/>
      <c r="F33" s="134"/>
      <c r="G33" s="134"/>
      <c r="H33" s="197"/>
      <c r="I33" s="197">
        <v>3.6000000000000001E-5</v>
      </c>
    </row>
    <row r="34" spans="2:18" x14ac:dyDescent="0.3">
      <c r="B34" s="51" t="s">
        <v>171</v>
      </c>
      <c r="C34" s="198"/>
      <c r="D34" s="194">
        <v>38.69</v>
      </c>
      <c r="E34" s="215"/>
      <c r="F34" s="215"/>
      <c r="G34" s="215"/>
      <c r="H34" s="198"/>
      <c r="I34" s="198">
        <v>175</v>
      </c>
    </row>
    <row r="35" spans="2:18" x14ac:dyDescent="0.3">
      <c r="B35" s="51" t="s">
        <v>172</v>
      </c>
      <c r="C35" s="198"/>
      <c r="D35" s="229">
        <f>D34/(Global!$B$5*24*365)*10000</f>
        <v>8.8333333333333321</v>
      </c>
      <c r="E35" s="215"/>
      <c r="F35" s="215"/>
      <c r="G35" s="215"/>
      <c r="H35" s="198"/>
      <c r="I35" s="194">
        <f>I34/(Global!$B$5*24*365)*10000</f>
        <v>39.954337899543376</v>
      </c>
    </row>
    <row r="36" spans="2:18" s="100" customFormat="1" x14ac:dyDescent="0.3">
      <c r="B36" s="106" t="s">
        <v>181</v>
      </c>
      <c r="C36" s="199"/>
      <c r="D36" s="199">
        <v>3.3000000000000002E-2</v>
      </c>
      <c r="E36" s="217"/>
      <c r="F36" s="217"/>
      <c r="G36" s="217"/>
      <c r="H36" s="199"/>
      <c r="I36" s="199">
        <v>0.41199999999999998</v>
      </c>
    </row>
    <row r="37" spans="2:18" x14ac:dyDescent="0.3">
      <c r="B37" s="51" t="s">
        <v>174</v>
      </c>
      <c r="D37" s="200">
        <v>689</v>
      </c>
      <c r="E37" s="211"/>
      <c r="F37" s="211"/>
      <c r="G37" s="211"/>
      <c r="H37" s="200"/>
      <c r="I37" s="200">
        <v>55</v>
      </c>
      <c r="R37" s="206"/>
    </row>
    <row r="38" spans="2:18" x14ac:dyDescent="0.3">
      <c r="B38" s="51" t="s">
        <v>175</v>
      </c>
      <c r="D38" s="200">
        <v>638</v>
      </c>
      <c r="E38" s="211"/>
      <c r="F38" s="211"/>
      <c r="G38" s="211"/>
      <c r="H38" s="200"/>
      <c r="I38" s="200">
        <v>51</v>
      </c>
    </row>
    <row r="39" spans="2:18" x14ac:dyDescent="0.3">
      <c r="B39" s="51" t="s">
        <v>176</v>
      </c>
      <c r="C39" s="198"/>
      <c r="D39" s="198">
        <v>1896</v>
      </c>
      <c r="E39" s="215"/>
      <c r="F39" s="215"/>
      <c r="G39" s="215"/>
      <c r="H39" s="198"/>
      <c r="I39" s="198">
        <v>1896</v>
      </c>
    </row>
    <row r="40" spans="2:18" x14ac:dyDescent="0.3">
      <c r="B40" s="51" t="s">
        <v>177</v>
      </c>
      <c r="C40" s="90"/>
      <c r="D40" s="42">
        <f>0.85*D34</f>
        <v>32.886499999999998</v>
      </c>
      <c r="E40" s="130"/>
      <c r="F40" s="130"/>
      <c r="G40" s="130"/>
      <c r="H40" s="186"/>
      <c r="I40" s="42">
        <f>0.85*I34</f>
        <v>148.75</v>
      </c>
    </row>
    <row r="41" spans="2:18" x14ac:dyDescent="0.3">
      <c r="C41" s="90"/>
      <c r="E41" s="130"/>
      <c r="F41" s="130"/>
      <c r="G41" s="130"/>
      <c r="H41" s="186"/>
    </row>
    <row r="49" spans="3:9" x14ac:dyDescent="0.3">
      <c r="C49" s="210"/>
      <c r="I49" s="227"/>
    </row>
    <row r="50" spans="3:9" x14ac:dyDescent="0.3">
      <c r="I50" s="1"/>
    </row>
  </sheetData>
  <mergeCells count="1">
    <mergeCell ref="A6:A8"/>
  </mergeCells>
  <phoneticPr fontId="16" type="noConversion"/>
  <pageMargins left="0.7" right="0.7" top="0.75" bottom="0.75" header="0.3" footer="0.3"/>
  <pageSetup paperSize="9" fitToWidth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AA8E5-5A66-4116-81BD-C91970094ADC}">
  <sheetPr codeName="Feuil5"/>
  <dimension ref="A1:N66"/>
  <sheetViews>
    <sheetView zoomScale="83" zoomScaleNormal="106" workbookViewId="0">
      <selection activeCell="A53" sqref="A53:D58"/>
    </sheetView>
  </sheetViews>
  <sheetFormatPr baseColWidth="10" defaultColWidth="11.44140625" defaultRowHeight="14.4" x14ac:dyDescent="0.3"/>
  <cols>
    <col min="1" max="1" width="25.6640625" customWidth="1"/>
    <col min="2" max="2" width="14.44140625" bestFit="1" customWidth="1"/>
    <col min="3" max="3" width="13.33203125" customWidth="1"/>
    <col min="4" max="4" width="15.109375" customWidth="1"/>
    <col min="5" max="5" width="12.88671875" bestFit="1" customWidth="1"/>
    <col min="6" max="6" width="12" bestFit="1" customWidth="1"/>
    <col min="8" max="8" width="24.33203125" bestFit="1" customWidth="1"/>
    <col min="10" max="10" width="20" customWidth="1"/>
    <col min="11" max="11" width="13.88671875" customWidth="1"/>
    <col min="12" max="12" width="10.33203125" customWidth="1"/>
    <col min="13" max="13" width="16.33203125" bestFit="1" customWidth="1"/>
    <col min="14" max="14" width="8.6640625" customWidth="1"/>
  </cols>
  <sheetData>
    <row r="1" spans="1:14" x14ac:dyDescent="0.3">
      <c r="A1" s="2" t="s">
        <v>182</v>
      </c>
    </row>
    <row r="3" spans="1:14" ht="15.6" x14ac:dyDescent="0.3">
      <c r="A3" t="s">
        <v>183</v>
      </c>
      <c r="B3">
        <v>84</v>
      </c>
      <c r="C3" t="s">
        <v>34</v>
      </c>
      <c r="H3" s="28" t="s">
        <v>27</v>
      </c>
      <c r="I3" s="6"/>
    </row>
    <row r="4" spans="1:14" x14ac:dyDescent="0.3">
      <c r="H4" s="17" t="s">
        <v>184</v>
      </c>
      <c r="I4" s="17">
        <v>0.64</v>
      </c>
      <c r="J4" s="38" t="s">
        <v>185</v>
      </c>
      <c r="K4" s="14"/>
      <c r="L4" s="59"/>
      <c r="M4" s="3"/>
      <c r="N4" s="59"/>
    </row>
    <row r="5" spans="1:14" x14ac:dyDescent="0.3">
      <c r="A5" s="76" t="s">
        <v>186</v>
      </c>
      <c r="B5" s="20" t="s">
        <v>187</v>
      </c>
      <c r="C5" s="20" t="s">
        <v>188</v>
      </c>
      <c r="D5" s="20" t="s">
        <v>189</v>
      </c>
      <c r="G5" s="3"/>
      <c r="H5" s="17" t="s">
        <v>190</v>
      </c>
      <c r="I5" s="17">
        <f>saturation!E8/84</f>
        <v>1.228375</v>
      </c>
      <c r="K5" s="3"/>
      <c r="L5" s="3"/>
      <c r="M5" s="3"/>
      <c r="N5" s="3"/>
    </row>
    <row r="6" spans="1:14" x14ac:dyDescent="0.3">
      <c r="A6" t="s">
        <v>191</v>
      </c>
      <c r="B6" s="27">
        <f>B8/1.3*1</f>
        <v>63.076923076923073</v>
      </c>
      <c r="G6" s="3"/>
      <c r="H6" s="21" t="s">
        <v>192</v>
      </c>
      <c r="I6" s="50">
        <v>5.1799999999999998E-11</v>
      </c>
      <c r="K6" s="14"/>
      <c r="L6" s="3"/>
      <c r="M6" s="3"/>
      <c r="N6" s="57"/>
    </row>
    <row r="7" spans="1:14" x14ac:dyDescent="0.3">
      <c r="A7" t="s">
        <v>193</v>
      </c>
      <c r="B7" s="27">
        <f>B8/1.3*0.3</f>
        <v>18.92307692307692</v>
      </c>
      <c r="C7" s="6">
        <f>300/58</f>
        <v>5.1724137931034484</v>
      </c>
      <c r="D7" s="79">
        <v>0.74199999999999999</v>
      </c>
      <c r="G7" s="31"/>
      <c r="H7" s="21" t="s">
        <v>194</v>
      </c>
      <c r="I7" s="21">
        <v>71</v>
      </c>
      <c r="K7" s="3"/>
      <c r="L7" s="3"/>
      <c r="M7" s="3"/>
      <c r="N7" s="3"/>
    </row>
    <row r="8" spans="1:14" x14ac:dyDescent="0.3">
      <c r="A8" t="s">
        <v>195</v>
      </c>
      <c r="B8" s="91">
        <f>I8</f>
        <v>82</v>
      </c>
      <c r="G8" s="3"/>
      <c r="H8" s="21" t="s">
        <v>196</v>
      </c>
      <c r="I8" s="21">
        <v>82</v>
      </c>
      <c r="K8" s="3"/>
      <c r="L8" s="3"/>
      <c r="M8" s="3"/>
      <c r="N8" s="3"/>
    </row>
    <row r="9" spans="1:14" x14ac:dyDescent="0.3">
      <c r="E9" s="3"/>
      <c r="H9" s="21" t="s">
        <v>197</v>
      </c>
      <c r="I9" s="21">
        <v>25</v>
      </c>
    </row>
    <row r="10" spans="1:14" x14ac:dyDescent="0.3">
      <c r="A10" s="76" t="s">
        <v>198</v>
      </c>
      <c r="B10" s="20" t="s">
        <v>69</v>
      </c>
      <c r="C10" s="20" t="s">
        <v>199</v>
      </c>
      <c r="D10" s="20" t="s">
        <v>200</v>
      </c>
      <c r="E10" s="3"/>
      <c r="H10" s="21" t="s">
        <v>31</v>
      </c>
      <c r="I10" s="66">
        <v>1</v>
      </c>
    </row>
    <row r="11" spans="1:14" x14ac:dyDescent="0.3">
      <c r="A11" t="s">
        <v>103</v>
      </c>
      <c r="B11" s="27">
        <f>I7</f>
        <v>71</v>
      </c>
      <c r="E11" s="3"/>
      <c r="H11" s="21" t="s">
        <v>39</v>
      </c>
      <c r="I11" s="117">
        <f>ABS(I10-1)</f>
        <v>0</v>
      </c>
    </row>
    <row r="12" spans="1:14" x14ac:dyDescent="0.3">
      <c r="A12" t="s">
        <v>48</v>
      </c>
      <c r="B12" s="14">
        <f>I4*B11/1000*84</f>
        <v>3.8169599999999995</v>
      </c>
      <c r="C12" s="6">
        <f>B18/B3</f>
        <v>0.64</v>
      </c>
      <c r="D12" s="123">
        <v>0.98099999999999998</v>
      </c>
      <c r="E12" s="63"/>
    </row>
    <row r="13" spans="1:14" x14ac:dyDescent="0.3">
      <c r="A13" t="s">
        <v>201</v>
      </c>
      <c r="B13" s="14">
        <f>B11*0.5*ABSO!C32/1000*I10</f>
        <v>6.184099999999999</v>
      </c>
      <c r="C13">
        <f>I10*0.5</f>
        <v>0.5</v>
      </c>
      <c r="D13" s="74">
        <v>0.99199999999999999</v>
      </c>
      <c r="E13" s="3"/>
    </row>
    <row r="14" spans="1:14" ht="15.6" x14ac:dyDescent="0.3">
      <c r="A14" t="s">
        <v>202</v>
      </c>
      <c r="B14" s="27">
        <f>0.3*B11*ABSO!C33/1000*I11</f>
        <v>0</v>
      </c>
      <c r="C14" s="6">
        <f>I11*0.3</f>
        <v>0</v>
      </c>
      <c r="D14" s="79">
        <v>0.84899999999999998</v>
      </c>
      <c r="H14" s="28" t="s">
        <v>62</v>
      </c>
      <c r="I14" s="6"/>
      <c r="J14" s="6"/>
    </row>
    <row r="15" spans="1:14" x14ac:dyDescent="0.3">
      <c r="A15" t="s">
        <v>140</v>
      </c>
      <c r="B15" s="6"/>
      <c r="D15" s="56" cm="1">
        <f t="array" ref="D15">_xlfn.IFS($I$10=1,D12*D13,$I$11=1,D12*D14)</f>
        <v>0.97315200000000002</v>
      </c>
      <c r="E15" s="3"/>
      <c r="H15" s="39" t="s">
        <v>203</v>
      </c>
      <c r="I15" s="7" t="s">
        <v>67</v>
      </c>
      <c r="J15" s="7" t="s">
        <v>68</v>
      </c>
    </row>
    <row r="16" spans="1:14" x14ac:dyDescent="0.3">
      <c r="C16" s="3"/>
      <c r="D16" s="3"/>
      <c r="E16" s="3"/>
      <c r="J16" t="s">
        <v>204</v>
      </c>
      <c r="K16" s="25">
        <f>B8</f>
        <v>82</v>
      </c>
    </row>
    <row r="17" spans="1:14" x14ac:dyDescent="0.3">
      <c r="A17" s="77" t="s">
        <v>205</v>
      </c>
      <c r="B17" s="20" t="s">
        <v>145</v>
      </c>
      <c r="C17" s="20"/>
      <c r="D17" s="3"/>
      <c r="E17" s="3"/>
      <c r="H17" s="40"/>
      <c r="I17" s="1" t="s">
        <v>75</v>
      </c>
      <c r="J17" s="1" t="s">
        <v>206</v>
      </c>
    </row>
    <row r="18" spans="1:14" x14ac:dyDescent="0.3">
      <c r="A18" t="s">
        <v>207</v>
      </c>
      <c r="B18" s="29">
        <f>I4*84</f>
        <v>53.76</v>
      </c>
      <c r="C18" s="6"/>
      <c r="D18" s="3"/>
      <c r="E18" s="3"/>
      <c r="H18" s="40"/>
      <c r="J18" t="s">
        <v>79</v>
      </c>
      <c r="K18" s="25">
        <f>B6</f>
        <v>63.076923076923073</v>
      </c>
      <c r="N18" s="3"/>
    </row>
    <row r="19" spans="1:14" x14ac:dyDescent="0.3">
      <c r="A19" t="s">
        <v>208</v>
      </c>
      <c r="B19" s="32">
        <f>I5*84</f>
        <v>103.1835</v>
      </c>
      <c r="E19" s="3"/>
      <c r="H19" s="40"/>
      <c r="J19" t="s">
        <v>209</v>
      </c>
      <c r="K19" s="25">
        <f>B7</f>
        <v>18.92307692307692</v>
      </c>
      <c r="N19" s="3"/>
    </row>
    <row r="20" spans="1:14" x14ac:dyDescent="0.3">
      <c r="A20" s="27" t="s">
        <v>210</v>
      </c>
      <c r="B20" s="41">
        <f>I9</f>
        <v>25</v>
      </c>
      <c r="C20" s="27"/>
      <c r="D20" s="27"/>
      <c r="E20" s="27"/>
      <c r="N20" s="3"/>
    </row>
    <row r="21" spans="1:14" x14ac:dyDescent="0.3">
      <c r="A21" s="1" t="s">
        <v>211</v>
      </c>
      <c r="B21" s="118">
        <f>I8*(1-B18/B19)*(ABSO!E30*OMD!I10+ABSO!F30*OMD!I11)</f>
        <v>34.445832705810517</v>
      </c>
      <c r="E21" s="3"/>
      <c r="N21" s="3"/>
    </row>
    <row r="22" spans="1:14" x14ac:dyDescent="0.3">
      <c r="E22" s="3"/>
      <c r="H22" s="90" t="s">
        <v>19</v>
      </c>
      <c r="I22" s="33" t="s">
        <v>67</v>
      </c>
      <c r="J22" s="33" t="s">
        <v>68</v>
      </c>
      <c r="K22" s="3"/>
      <c r="L22" s="3"/>
      <c r="M22" s="3"/>
      <c r="N22" s="3"/>
    </row>
    <row r="23" spans="1:14" x14ac:dyDescent="0.3">
      <c r="A23" s="22" t="s">
        <v>205</v>
      </c>
      <c r="B23" s="20" t="s">
        <v>69</v>
      </c>
      <c r="C23" s="20" t="s">
        <v>199</v>
      </c>
      <c r="D23" s="20" t="s">
        <v>212</v>
      </c>
      <c r="E23" s="63"/>
      <c r="H23" s="42"/>
      <c r="I23" s="3"/>
      <c r="J23" s="3" t="s">
        <v>213</v>
      </c>
      <c r="K23" s="27">
        <f>B28</f>
        <v>36.554167294189483</v>
      </c>
      <c r="L23" s="3"/>
      <c r="M23" s="3"/>
      <c r="N23" s="3"/>
    </row>
    <row r="24" spans="1:14" x14ac:dyDescent="0.3">
      <c r="A24" t="s">
        <v>214</v>
      </c>
      <c r="B24" s="14">
        <f>B11*(I4/I5)</f>
        <v>36.991960923984941</v>
      </c>
      <c r="H24" s="3"/>
      <c r="I24" s="3"/>
      <c r="J24" s="33" t="s">
        <v>215</v>
      </c>
      <c r="K24" s="3"/>
      <c r="L24" s="3"/>
      <c r="M24" s="3"/>
      <c r="N24" s="3"/>
    </row>
    <row r="25" spans="1:14" s="27" customFormat="1" x14ac:dyDescent="0.3">
      <c r="A25" t="s">
        <v>208</v>
      </c>
      <c r="B25" s="14">
        <f>B12</f>
        <v>3.8169599999999995</v>
      </c>
      <c r="C25" s="6">
        <f>B19/B3</f>
        <v>1.228375</v>
      </c>
      <c r="D25" s="72">
        <v>0.96399999999999997</v>
      </c>
      <c r="E25" s="3"/>
      <c r="H25" s="3"/>
      <c r="I25" s="3"/>
      <c r="J25" s="3" t="s">
        <v>216</v>
      </c>
      <c r="K25" s="27">
        <f>B33</f>
        <v>116.4458327058105</v>
      </c>
      <c r="M25" s="3"/>
      <c r="N25"/>
    </row>
    <row r="26" spans="1:14" x14ac:dyDescent="0.3">
      <c r="A26" t="s">
        <v>201</v>
      </c>
      <c r="B26" s="14">
        <f>B13</f>
        <v>6.184099999999999</v>
      </c>
      <c r="C26" s="6">
        <f>C13*B11/B24</f>
        <v>0.95966796874999993</v>
      </c>
      <c r="D26" s="75">
        <v>0.98899999999999999</v>
      </c>
      <c r="E26" s="3"/>
      <c r="G26" s="3"/>
      <c r="H26" s="3"/>
      <c r="I26" s="33" t="s">
        <v>75</v>
      </c>
      <c r="J26" s="33" t="s">
        <v>206</v>
      </c>
      <c r="K26" s="3"/>
      <c r="L26" s="3"/>
      <c r="M26" s="3"/>
      <c r="N26" s="3"/>
    </row>
    <row r="27" spans="1:14" x14ac:dyDescent="0.3">
      <c r="A27" t="s">
        <v>202</v>
      </c>
      <c r="B27" s="14">
        <f>B14</f>
        <v>0</v>
      </c>
      <c r="C27" s="6">
        <f>C14*B11/B24</f>
        <v>0</v>
      </c>
      <c r="D27" s="79">
        <v>0.98</v>
      </c>
      <c r="E27" s="3"/>
      <c r="G27" s="3"/>
      <c r="H27" s="3"/>
      <c r="I27" s="3"/>
      <c r="J27" s="3" t="s">
        <v>204</v>
      </c>
      <c r="K27" s="27">
        <f>B8</f>
        <v>82</v>
      </c>
      <c r="L27" s="27"/>
      <c r="M27" s="27"/>
      <c r="N27" s="14" t="s">
        <v>217</v>
      </c>
    </row>
    <row r="28" spans="1:14" x14ac:dyDescent="0.3">
      <c r="A28" t="s">
        <v>218</v>
      </c>
      <c r="B28" s="14">
        <f>I7-B21</f>
        <v>36.554167294189483</v>
      </c>
      <c r="D28" s="56" cm="1">
        <f t="array" ref="D28">_xlfn.IFS($I$10=1,D25*D26,$I$11=1,D25*D27)</f>
        <v>0.95339599999999991</v>
      </c>
      <c r="E28" s="3"/>
      <c r="G28" s="3"/>
      <c r="H28" s="3"/>
      <c r="I28" s="3"/>
      <c r="J28" s="3" t="s">
        <v>219</v>
      </c>
      <c r="K28" s="27">
        <f>I8</f>
        <v>82</v>
      </c>
      <c r="L28" s="3"/>
      <c r="M28" s="3"/>
      <c r="N28" s="3"/>
    </row>
    <row r="29" spans="1:14" x14ac:dyDescent="0.3">
      <c r="B29" s="6"/>
      <c r="E29" s="3"/>
      <c r="G29" s="3"/>
      <c r="H29" s="3"/>
      <c r="I29" s="3"/>
      <c r="J29" s="3" t="s">
        <v>107</v>
      </c>
      <c r="K29" s="26">
        <f>B40</f>
        <v>353.44642903716698</v>
      </c>
      <c r="L29" s="4" t="s">
        <v>220</v>
      </c>
      <c r="M29" s="27">
        <f>K29/Global!$B$8*10000</f>
        <v>80.695531743645418</v>
      </c>
      <c r="N29" s="3"/>
    </row>
    <row r="30" spans="1:14" x14ac:dyDescent="0.3">
      <c r="A30" s="76" t="s">
        <v>221</v>
      </c>
      <c r="B30" s="20" t="s">
        <v>69</v>
      </c>
      <c r="C30" s="20" t="s">
        <v>188</v>
      </c>
      <c r="D30" s="20" t="s">
        <v>222</v>
      </c>
      <c r="E30" s="20" t="s">
        <v>223</v>
      </c>
      <c r="G30" s="3"/>
      <c r="H30" s="3"/>
      <c r="I30" s="3"/>
      <c r="J30" s="3" t="s">
        <v>110</v>
      </c>
      <c r="K30" s="27">
        <f>C48</f>
        <v>864</v>
      </c>
      <c r="L30" s="3"/>
      <c r="M30" s="3"/>
    </row>
    <row r="31" spans="1:14" x14ac:dyDescent="0.3">
      <c r="A31" t="s">
        <v>214</v>
      </c>
      <c r="B31" s="6">
        <f>B6+B21</f>
        <v>97.522755782733583</v>
      </c>
      <c r="G31" s="3"/>
      <c r="H31" s="3"/>
      <c r="I31" s="3"/>
      <c r="J31" s="3" t="s">
        <v>224</v>
      </c>
      <c r="K31" s="27">
        <f>C50</f>
        <v>62.010899999999992</v>
      </c>
      <c r="L31" s="3"/>
      <c r="M31" s="3"/>
    </row>
    <row r="32" spans="1:14" x14ac:dyDescent="0.3">
      <c r="A32" t="s">
        <v>225</v>
      </c>
      <c r="B32" s="25">
        <f>B7</f>
        <v>18.92307692307692</v>
      </c>
      <c r="C32" s="6">
        <f>B32/B31*1000/58</f>
        <v>3.3454750568827385</v>
      </c>
      <c r="D32" s="79">
        <v>0.84899999999999998</v>
      </c>
      <c r="E32" s="6">
        <f>(B32*1000)/B31</f>
        <v>194.03755329919883</v>
      </c>
      <c r="G32" s="64"/>
    </row>
    <row r="33" spans="1:7" x14ac:dyDescent="0.3">
      <c r="A33" t="s">
        <v>226</v>
      </c>
      <c r="B33" s="6">
        <f>B31+B32</f>
        <v>116.4458327058105</v>
      </c>
      <c r="D33" s="3"/>
      <c r="G33" s="65"/>
    </row>
    <row r="34" spans="1:7" x14ac:dyDescent="0.3">
      <c r="C34" s="6"/>
      <c r="D34" s="3"/>
      <c r="E34" s="138">
        <v>41</v>
      </c>
      <c r="F34" s="139">
        <f>(D7+D32)/2</f>
        <v>0.79549999999999998</v>
      </c>
      <c r="G34" s="3"/>
    </row>
    <row r="35" spans="1:7" x14ac:dyDescent="0.3">
      <c r="A35" t="s">
        <v>227</v>
      </c>
      <c r="B35" s="3">
        <f>I6</f>
        <v>5.1799999999999998E-11</v>
      </c>
      <c r="D35" s="3"/>
      <c r="E35" s="140" t="s">
        <v>228</v>
      </c>
      <c r="F35" s="141">
        <f>((D12*D13)+(D25*D26))/2</f>
        <v>0.96327399999999996</v>
      </c>
      <c r="G35" s="3"/>
    </row>
    <row r="36" spans="1:7" x14ac:dyDescent="0.3">
      <c r="A36" t="s">
        <v>229</v>
      </c>
      <c r="B36" s="27">
        <f>B20+273</f>
        <v>298</v>
      </c>
      <c r="E36" s="138" t="s">
        <v>230</v>
      </c>
      <c r="F36" s="139">
        <f>((D12*D14)+(D25*D27))/2</f>
        <v>0.88879449999999993</v>
      </c>
    </row>
    <row r="37" spans="1:7" x14ac:dyDescent="0.3">
      <c r="A37" t="s">
        <v>231</v>
      </c>
      <c r="B37" s="25">
        <f>EXP(23.1964-(3816.44/(-46.13+B36)))</f>
        <v>3114.986510908343</v>
      </c>
    </row>
    <row r="38" spans="1:7" x14ac:dyDescent="0.3">
      <c r="A38" t="s">
        <v>232</v>
      </c>
      <c r="B38" s="25">
        <f>B37*((D15+D28)-(D7+D32))/2</f>
        <v>522.61374688113631</v>
      </c>
      <c r="C38" s="25">
        <f>B37*((D15-D7)-(D28-D32))/LN((D15-D7)/(D28-D32))</f>
        <v>496.73054120777959</v>
      </c>
      <c r="E38" s="25" t="s">
        <v>233</v>
      </c>
      <c r="F38" s="25">
        <f>(D15*B37)-(D7*B37)</f>
        <v>720.03536196948517</v>
      </c>
    </row>
    <row r="39" spans="1:7" x14ac:dyDescent="0.3">
      <c r="A39" t="s">
        <v>234</v>
      </c>
      <c r="B39" s="13">
        <f>B38*B35</f>
        <v>2.707139208844286E-8</v>
      </c>
      <c r="E39" t="s">
        <v>235</v>
      </c>
      <c r="F39" s="25">
        <f>(D28*B37)-(D32*B37)</f>
        <v>325.19213179278722</v>
      </c>
    </row>
    <row r="40" spans="1:7" x14ac:dyDescent="0.3">
      <c r="A40" t="s">
        <v>236</v>
      </c>
      <c r="B40" s="92">
        <f>B21*0.001/(3600*B39)</f>
        <v>353.44642903716698</v>
      </c>
      <c r="E40" t="s">
        <v>237</v>
      </c>
      <c r="F40" s="25">
        <f>(F38+F39)/2</f>
        <v>522.61374688113619</v>
      </c>
    </row>
    <row r="41" spans="1:7" x14ac:dyDescent="0.3">
      <c r="B41" s="6"/>
      <c r="E41" t="s">
        <v>238</v>
      </c>
      <c r="F41" s="13">
        <f>F40*B35</f>
        <v>2.7071392088442853E-8</v>
      </c>
    </row>
    <row r="44" spans="1:7" x14ac:dyDescent="0.3">
      <c r="A44" s="1" t="s">
        <v>123</v>
      </c>
      <c r="B44" s="8" t="s">
        <v>124</v>
      </c>
      <c r="C44" s="8" t="s">
        <v>125</v>
      </c>
    </row>
    <row r="45" spans="1:7" x14ac:dyDescent="0.3">
      <c r="A45" t="s">
        <v>239</v>
      </c>
      <c r="B45" s="6">
        <v>160</v>
      </c>
      <c r="C45" s="67">
        <f t="shared" ref="C45:C46" si="0">B45*3600/1000</f>
        <v>576</v>
      </c>
    </row>
    <row r="46" spans="1:7" x14ac:dyDescent="0.3">
      <c r="A46" t="s">
        <v>240</v>
      </c>
      <c r="B46">
        <v>80</v>
      </c>
      <c r="C46" s="67">
        <f t="shared" si="0"/>
        <v>288</v>
      </c>
    </row>
    <row r="47" spans="1:7" x14ac:dyDescent="0.3">
      <c r="C47" s="67"/>
    </row>
    <row r="48" spans="1:7" x14ac:dyDescent="0.3">
      <c r="A48" t="s">
        <v>140</v>
      </c>
      <c r="C48" s="14">
        <f>SUM(C45:C47)</f>
        <v>864</v>
      </c>
    </row>
    <row r="49" spans="1:5" x14ac:dyDescent="0.3">
      <c r="B49" s="6"/>
      <c r="C49" s="67"/>
    </row>
    <row r="50" spans="1:5" x14ac:dyDescent="0.3">
      <c r="A50" s="120" t="s">
        <v>241</v>
      </c>
      <c r="B50" s="121">
        <f>(I7+K27+K25+K23)/1000/3600/Global!B25*101325</f>
        <v>17.225249999999999</v>
      </c>
      <c r="C50" s="122">
        <f t="shared" ref="C50" si="1">B50*3600/1000</f>
        <v>62.010899999999992</v>
      </c>
    </row>
    <row r="51" spans="1:5" x14ac:dyDescent="0.3">
      <c r="C51" s="14"/>
    </row>
    <row r="53" spans="1:5" x14ac:dyDescent="0.3">
      <c r="A53" s="3"/>
      <c r="B53" s="3"/>
      <c r="C53" s="3"/>
      <c r="D53" s="3"/>
    </row>
    <row r="54" spans="1:5" x14ac:dyDescent="0.3">
      <c r="A54" s="33"/>
      <c r="B54" s="3"/>
      <c r="C54" s="3"/>
      <c r="D54" s="3"/>
    </row>
    <row r="55" spans="1:5" x14ac:dyDescent="0.3">
      <c r="A55" s="3"/>
      <c r="B55" s="3"/>
      <c r="C55" s="3"/>
      <c r="D55" s="3"/>
    </row>
    <row r="56" spans="1:5" x14ac:dyDescent="0.3">
      <c r="A56" s="3"/>
      <c r="B56" s="3"/>
      <c r="C56" s="3"/>
      <c r="D56" s="3"/>
    </row>
    <row r="57" spans="1:5" x14ac:dyDescent="0.3">
      <c r="A57" s="3"/>
      <c r="B57" s="3"/>
      <c r="C57" s="3"/>
      <c r="D57" s="3"/>
    </row>
    <row r="58" spans="1:5" x14ac:dyDescent="0.3">
      <c r="A58" s="33"/>
      <c r="B58" s="3"/>
      <c r="C58" s="3"/>
      <c r="D58" s="3"/>
    </row>
    <row r="60" spans="1:5" x14ac:dyDescent="0.3">
      <c r="A60" s="1" t="s">
        <v>242</v>
      </c>
      <c r="B60" s="68"/>
      <c r="C60" s="69"/>
      <c r="D60" s="69"/>
      <c r="E60" s="70"/>
    </row>
    <row r="61" spans="1:5" x14ac:dyDescent="0.3">
      <c r="B61" s="71"/>
      <c r="C61" s="71"/>
      <c r="D61" s="70"/>
      <c r="E61" s="70"/>
    </row>
    <row r="62" spans="1:5" x14ac:dyDescent="0.3">
      <c r="B62" s="71"/>
      <c r="C62" s="71"/>
      <c r="D62" s="70"/>
      <c r="E62" s="70"/>
    </row>
    <row r="63" spans="1:5" x14ac:dyDescent="0.3">
      <c r="B63" s="71"/>
      <c r="C63" s="71"/>
      <c r="D63" s="70"/>
      <c r="E63" s="70"/>
    </row>
    <row r="64" spans="1:5" x14ac:dyDescent="0.3">
      <c r="C64" s="25"/>
      <c r="D64" s="25"/>
    </row>
    <row r="65" spans="2:4" x14ac:dyDescent="0.3">
      <c r="B65" s="25"/>
      <c r="C65" s="25"/>
      <c r="D65" s="25"/>
    </row>
    <row r="66" spans="2:4" x14ac:dyDescent="0.3">
      <c r="C66" s="25"/>
      <c r="D66" s="25"/>
    </row>
  </sheetData>
  <pageMargins left="0.7" right="0.7" top="0.75" bottom="0.75" header="0.3" footer="0.3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9B157-B8FD-4388-869C-BFF2C6CD51E1}">
  <dimension ref="A3:O52"/>
  <sheetViews>
    <sheetView zoomScale="85" workbookViewId="0">
      <selection activeCell="A6" sqref="A6:XFD6"/>
    </sheetView>
  </sheetViews>
  <sheetFormatPr baseColWidth="10" defaultColWidth="11.44140625" defaultRowHeight="14.4" x14ac:dyDescent="0.3"/>
  <cols>
    <col min="2" max="2" width="19.5546875" bestFit="1" customWidth="1"/>
    <col min="4" max="4" width="11.5546875" style="138"/>
    <col min="5" max="5" width="11.5546875" style="22"/>
    <col min="6" max="6" width="11.5546875" style="155"/>
    <col min="13" max="13" width="11.5546875" style="1"/>
  </cols>
  <sheetData>
    <row r="3" spans="1:15" x14ac:dyDescent="0.3">
      <c r="A3" s="96"/>
      <c r="B3" s="51" t="s">
        <v>243</v>
      </c>
      <c r="C3" s="138"/>
      <c r="D3" s="138">
        <v>0.61</v>
      </c>
      <c r="E3" s="22">
        <v>0.64</v>
      </c>
      <c r="F3" s="155">
        <v>1.26</v>
      </c>
      <c r="G3">
        <v>0.89</v>
      </c>
      <c r="H3">
        <v>0.64</v>
      </c>
      <c r="I3">
        <v>0.64</v>
      </c>
      <c r="J3">
        <v>0.64</v>
      </c>
      <c r="K3">
        <v>1.26</v>
      </c>
      <c r="L3">
        <v>1.26</v>
      </c>
      <c r="M3" s="1">
        <v>1.26</v>
      </c>
    </row>
    <row r="4" spans="1:15" x14ac:dyDescent="0.3">
      <c r="A4" s="97"/>
      <c r="B4" s="51" t="s">
        <v>245</v>
      </c>
      <c r="C4" s="138"/>
      <c r="D4" s="138">
        <v>1.23</v>
      </c>
      <c r="E4" s="22">
        <v>1.23</v>
      </c>
      <c r="F4" s="155">
        <v>1.23</v>
      </c>
      <c r="G4">
        <v>1.23</v>
      </c>
      <c r="H4">
        <v>1.35</v>
      </c>
      <c r="I4">
        <v>1.6</v>
      </c>
      <c r="J4">
        <v>1.84</v>
      </c>
      <c r="K4">
        <v>1.35</v>
      </c>
      <c r="L4">
        <v>1.6</v>
      </c>
      <c r="M4" s="1">
        <v>1.84</v>
      </c>
    </row>
    <row r="5" spans="1:15" x14ac:dyDescent="0.3">
      <c r="A5" s="239"/>
      <c r="B5" s="51" t="s">
        <v>246</v>
      </c>
      <c r="C5" s="138"/>
    </row>
    <row r="6" spans="1:15" x14ac:dyDescent="0.3">
      <c r="A6" s="239"/>
      <c r="B6" s="51" t="s">
        <v>248</v>
      </c>
      <c r="C6" s="138"/>
      <c r="D6" s="138">
        <v>100</v>
      </c>
      <c r="E6" s="22">
        <v>100</v>
      </c>
      <c r="H6" s="184">
        <v>1.1000000000000001</v>
      </c>
      <c r="I6" s="184">
        <v>1.3</v>
      </c>
      <c r="J6" s="184">
        <v>1.5</v>
      </c>
      <c r="K6" s="184">
        <v>1.1000000000000001</v>
      </c>
      <c r="L6" s="184">
        <v>1.3</v>
      </c>
      <c r="M6" s="204">
        <v>1.5</v>
      </c>
      <c r="O6" s="46"/>
    </row>
    <row r="7" spans="1:15" x14ac:dyDescent="0.3">
      <c r="A7" s="40"/>
      <c r="B7" s="51" t="s">
        <v>249</v>
      </c>
      <c r="C7" s="138"/>
    </row>
    <row r="8" spans="1:15" x14ac:dyDescent="0.3">
      <c r="A8" s="40"/>
      <c r="B8" s="40"/>
      <c r="C8" s="138"/>
      <c r="H8" s="175"/>
    </row>
    <row r="9" spans="1:15" x14ac:dyDescent="0.3">
      <c r="A9" s="40"/>
      <c r="B9" s="102"/>
      <c r="C9" s="113">
        <v>5.0880000000000003E-11</v>
      </c>
    </row>
    <row r="10" spans="1:15" s="13" customFormat="1" x14ac:dyDescent="0.3">
      <c r="A10" s="50"/>
      <c r="B10" s="105" t="s">
        <v>250</v>
      </c>
      <c r="C10" s="113">
        <v>5.9500000000000001E-11</v>
      </c>
      <c r="D10" s="148">
        <v>6.0600000000000003E-11</v>
      </c>
      <c r="E10" s="192"/>
      <c r="F10" s="175">
        <v>5.9399999999999997E-11</v>
      </c>
      <c r="G10" s="175">
        <v>5.9399999999999997E-11</v>
      </c>
      <c r="K10" s="13">
        <f>F10</f>
        <v>5.9399999999999997E-11</v>
      </c>
      <c r="M10" s="197"/>
    </row>
    <row r="11" spans="1:15" x14ac:dyDescent="0.3">
      <c r="A11" s="40"/>
      <c r="C11" s="161">
        <f>C9/C10</f>
        <v>0.85512605042016809</v>
      </c>
    </row>
    <row r="12" spans="1:15" s="40" customFormat="1" x14ac:dyDescent="0.3">
      <c r="B12" s="52" t="s">
        <v>31</v>
      </c>
      <c r="C12" s="149"/>
      <c r="D12" s="149"/>
      <c r="E12" s="185" t="s">
        <v>251</v>
      </c>
      <c r="F12" s="176"/>
      <c r="G12" s="103"/>
      <c r="H12" s="103" t="s">
        <v>252</v>
      </c>
      <c r="I12" s="103" t="s">
        <v>253</v>
      </c>
      <c r="J12" s="103" t="s">
        <v>254</v>
      </c>
      <c r="K12" s="103" t="s">
        <v>255</v>
      </c>
      <c r="L12" s="103" t="s">
        <v>256</v>
      </c>
      <c r="M12" s="196" t="s">
        <v>257</v>
      </c>
    </row>
    <row r="13" spans="1:15" x14ac:dyDescent="0.3">
      <c r="A13" s="40"/>
      <c r="B13" s="51" t="s">
        <v>258</v>
      </c>
      <c r="C13" s="138"/>
      <c r="E13" s="22">
        <v>82</v>
      </c>
      <c r="H13" t="s">
        <v>259</v>
      </c>
      <c r="I13">
        <v>82</v>
      </c>
      <c r="J13">
        <v>82</v>
      </c>
      <c r="K13">
        <v>42</v>
      </c>
      <c r="L13">
        <v>42</v>
      </c>
      <c r="M13" s="1">
        <v>42</v>
      </c>
    </row>
    <row r="14" spans="1:15" x14ac:dyDescent="0.3">
      <c r="A14" s="40"/>
      <c r="B14" s="51" t="s">
        <v>191</v>
      </c>
      <c r="C14" s="138"/>
      <c r="E14" s="22">
        <v>71</v>
      </c>
      <c r="H14">
        <v>71</v>
      </c>
      <c r="I14">
        <v>71</v>
      </c>
      <c r="J14">
        <v>71</v>
      </c>
      <c r="K14">
        <v>36</v>
      </c>
      <c r="L14">
        <v>36</v>
      </c>
      <c r="M14" s="1">
        <v>36</v>
      </c>
    </row>
    <row r="15" spans="1:15" x14ac:dyDescent="0.3">
      <c r="A15" s="40"/>
      <c r="B15" s="51" t="s">
        <v>260</v>
      </c>
      <c r="C15" s="138"/>
      <c r="E15" s="22">
        <v>82</v>
      </c>
      <c r="H15">
        <v>82</v>
      </c>
      <c r="I15">
        <v>82</v>
      </c>
      <c r="J15">
        <v>82</v>
      </c>
      <c r="K15">
        <v>42</v>
      </c>
      <c r="L15">
        <v>42</v>
      </c>
      <c r="M15" s="1">
        <v>42</v>
      </c>
    </row>
    <row r="16" spans="1:15" x14ac:dyDescent="0.3">
      <c r="B16" s="164" t="s">
        <v>261</v>
      </c>
      <c r="E16" s="22">
        <v>0.5</v>
      </c>
      <c r="H16">
        <v>0.5</v>
      </c>
      <c r="I16">
        <v>0.5</v>
      </c>
      <c r="J16">
        <v>0.5</v>
      </c>
      <c r="K16">
        <v>0.5</v>
      </c>
      <c r="L16">
        <v>0.5</v>
      </c>
      <c r="M16" s="1">
        <v>0.5</v>
      </c>
    </row>
    <row r="17" spans="1:13" x14ac:dyDescent="0.3">
      <c r="B17" s="164" t="s">
        <v>262</v>
      </c>
      <c r="E17" s="22">
        <v>0.96</v>
      </c>
      <c r="H17">
        <v>1.06</v>
      </c>
      <c r="I17">
        <v>1.25</v>
      </c>
      <c r="J17">
        <v>1.55</v>
      </c>
      <c r="K17">
        <v>0.54</v>
      </c>
      <c r="L17">
        <v>0.63</v>
      </c>
      <c r="M17" s="1">
        <v>0.73</v>
      </c>
    </row>
    <row r="18" spans="1:13" x14ac:dyDescent="0.3">
      <c r="B18" s="164" t="s">
        <v>263</v>
      </c>
      <c r="E18" s="22">
        <v>5.17</v>
      </c>
      <c r="H18">
        <v>5.17</v>
      </c>
      <c r="I18">
        <v>5.17</v>
      </c>
      <c r="J18">
        <v>5.17</v>
      </c>
      <c r="K18">
        <v>5.17</v>
      </c>
      <c r="L18">
        <v>5.17</v>
      </c>
      <c r="M18" s="1">
        <v>5.17</v>
      </c>
    </row>
    <row r="19" spans="1:13" x14ac:dyDescent="0.3">
      <c r="B19" s="164" t="s">
        <v>264</v>
      </c>
      <c r="E19" s="22">
        <v>3.35</v>
      </c>
      <c r="H19">
        <v>3.23</v>
      </c>
      <c r="I19">
        <v>3.07</v>
      </c>
      <c r="J19">
        <v>2.97</v>
      </c>
      <c r="K19">
        <v>4.8</v>
      </c>
      <c r="L19">
        <v>4.17</v>
      </c>
      <c r="M19" s="1">
        <v>3.8</v>
      </c>
    </row>
    <row r="20" spans="1:13" x14ac:dyDescent="0.3">
      <c r="B20" s="164" t="s">
        <v>265</v>
      </c>
      <c r="E20" s="22">
        <v>0.97299999999999998</v>
      </c>
      <c r="H20">
        <v>0.97299999999999998</v>
      </c>
      <c r="I20">
        <v>0.97299999999999998</v>
      </c>
      <c r="J20">
        <v>0.97299999999999998</v>
      </c>
      <c r="K20">
        <v>0.95499999999999996</v>
      </c>
      <c r="L20">
        <v>0.95499999999999996</v>
      </c>
      <c r="M20" s="1">
        <v>0.95499999999999996</v>
      </c>
    </row>
    <row r="21" spans="1:13" x14ac:dyDescent="0.3">
      <c r="B21" s="164" t="s">
        <v>266</v>
      </c>
      <c r="E21" s="22">
        <v>0.95299999999999996</v>
      </c>
      <c r="H21">
        <v>0.95099999999999996</v>
      </c>
      <c r="I21">
        <v>0.95099999999999996</v>
      </c>
      <c r="J21">
        <v>0.95099999999999996</v>
      </c>
      <c r="K21">
        <v>0.95399999999999996</v>
      </c>
      <c r="L21">
        <v>0.95199999999999996</v>
      </c>
      <c r="M21" s="1">
        <v>0.95099999999999996</v>
      </c>
    </row>
    <row r="22" spans="1:13" x14ac:dyDescent="0.3">
      <c r="B22" s="164" t="s">
        <v>267</v>
      </c>
      <c r="E22" s="22">
        <v>0.74199999999999999</v>
      </c>
      <c r="H22">
        <v>0.74199999999999999</v>
      </c>
      <c r="I22">
        <v>0.74199999999999999</v>
      </c>
      <c r="J22">
        <v>0.74199999999999999</v>
      </c>
      <c r="K22">
        <v>0.74199999999999999</v>
      </c>
      <c r="L22">
        <v>0.74199999999999999</v>
      </c>
      <c r="M22" s="1">
        <v>0.74199999999999999</v>
      </c>
    </row>
    <row r="23" spans="1:13" x14ac:dyDescent="0.3">
      <c r="B23" s="164" t="s">
        <v>268</v>
      </c>
      <c r="E23" s="22">
        <v>0.84799999999999998</v>
      </c>
      <c r="H23">
        <v>0.85399999999999998</v>
      </c>
      <c r="I23">
        <v>0.86299999999999999</v>
      </c>
      <c r="J23">
        <v>0.86899999999999999</v>
      </c>
      <c r="K23">
        <v>0.75800000000000001</v>
      </c>
      <c r="L23">
        <v>0.79900000000000004</v>
      </c>
      <c r="M23" s="1">
        <v>0.82099999999999995</v>
      </c>
    </row>
    <row r="24" spans="1:13" s="115" customFormat="1" x14ac:dyDescent="0.3">
      <c r="A24" s="40"/>
      <c r="B24" s="51" t="s">
        <v>269</v>
      </c>
      <c r="C24" s="150"/>
      <c r="D24" s="150"/>
      <c r="E24" s="205">
        <v>34</v>
      </c>
      <c r="F24" s="157"/>
      <c r="H24" s="115">
        <v>38</v>
      </c>
      <c r="I24" s="115">
        <v>43</v>
      </c>
      <c r="J24" s="115">
        <v>47</v>
      </c>
      <c r="K24" s="115">
        <v>2</v>
      </c>
      <c r="L24" s="115">
        <v>7</v>
      </c>
      <c r="M24" s="202">
        <v>10</v>
      </c>
    </row>
    <row r="25" spans="1:13" s="13" customFormat="1" x14ac:dyDescent="0.3">
      <c r="A25" s="50" t="s">
        <v>167</v>
      </c>
      <c r="B25" s="105" t="s">
        <v>270</v>
      </c>
      <c r="C25" s="113"/>
      <c r="D25" s="113"/>
      <c r="E25" s="231">
        <v>5.1799999999999998E-11</v>
      </c>
      <c r="F25" s="13">
        <f>F10*C11</f>
        <v>5.0794487394957984E-11</v>
      </c>
      <c r="H25" s="13">
        <f>D10*C11</f>
        <v>5.1820638655462191E-11</v>
      </c>
      <c r="I25" s="13">
        <f>D10*C11</f>
        <v>5.1820638655462191E-11</v>
      </c>
      <c r="J25" s="13">
        <f>I25</f>
        <v>5.1820638655462191E-11</v>
      </c>
      <c r="K25" s="13">
        <f>K10*C11</f>
        <v>5.0794487394957984E-11</v>
      </c>
      <c r="L25" s="13">
        <f>K25</f>
        <v>5.0794487394957984E-11</v>
      </c>
      <c r="M25" s="197">
        <f>L25</f>
        <v>5.0794487394957984E-11</v>
      </c>
    </row>
    <row r="26" spans="1:13" x14ac:dyDescent="0.3">
      <c r="A26" s="40"/>
      <c r="B26" s="51" t="s">
        <v>271</v>
      </c>
      <c r="C26" s="138"/>
      <c r="E26" s="186">
        <v>524</v>
      </c>
      <c r="H26">
        <v>512</v>
      </c>
      <c r="I26">
        <v>498</v>
      </c>
      <c r="J26">
        <v>488</v>
      </c>
      <c r="K26">
        <v>638</v>
      </c>
      <c r="L26">
        <v>571</v>
      </c>
      <c r="M26" s="1">
        <v>535</v>
      </c>
    </row>
    <row r="27" spans="1:13" x14ac:dyDescent="0.3">
      <c r="B27" s="164" t="s">
        <v>272</v>
      </c>
      <c r="D27" s="148"/>
      <c r="E27" s="231">
        <v>2.7199999999999999E-8</v>
      </c>
      <c r="H27" s="13">
        <v>2.6499999999999999E-8</v>
      </c>
      <c r="I27" s="13">
        <v>5.2800000000000003E-8</v>
      </c>
      <c r="J27" s="13">
        <v>2.5300000000000002E-8</v>
      </c>
      <c r="K27" s="13">
        <v>3.2399999999999999E-8</v>
      </c>
      <c r="L27" s="13">
        <v>2.9000000000000002E-8</v>
      </c>
      <c r="M27" s="197">
        <v>2.7199999999999999E-8</v>
      </c>
    </row>
    <row r="28" spans="1:13" s="115" customFormat="1" x14ac:dyDescent="0.3">
      <c r="A28" s="40"/>
      <c r="B28" s="51" t="s">
        <v>273</v>
      </c>
      <c r="C28" s="150"/>
      <c r="D28" s="150"/>
      <c r="E28" s="205">
        <v>352</v>
      </c>
      <c r="F28" s="157"/>
      <c r="H28" s="115">
        <v>397</v>
      </c>
      <c r="I28" s="115">
        <v>464</v>
      </c>
      <c r="J28" s="115">
        <v>515</v>
      </c>
      <c r="K28" s="115">
        <v>18</v>
      </c>
      <c r="L28" s="115">
        <v>64</v>
      </c>
      <c r="M28" s="202">
        <v>102</v>
      </c>
    </row>
    <row r="29" spans="1:13" x14ac:dyDescent="0.3">
      <c r="A29" s="40"/>
      <c r="B29" s="51" t="s">
        <v>274</v>
      </c>
      <c r="C29" s="138"/>
      <c r="E29" s="186">
        <v>864</v>
      </c>
      <c r="H29">
        <v>864</v>
      </c>
      <c r="I29">
        <v>864</v>
      </c>
    </row>
    <row r="30" spans="1:13" x14ac:dyDescent="0.3">
      <c r="A30" s="40"/>
      <c r="B30" s="51" t="s">
        <v>275</v>
      </c>
      <c r="C30" s="138"/>
      <c r="E30" s="186">
        <v>48</v>
      </c>
      <c r="H30">
        <v>44</v>
      </c>
      <c r="I30">
        <v>39</v>
      </c>
      <c r="J30">
        <v>65</v>
      </c>
      <c r="K30">
        <v>34</v>
      </c>
      <c r="L30">
        <v>29</v>
      </c>
      <c r="M30" s="1">
        <v>32</v>
      </c>
    </row>
    <row r="31" spans="1:13" x14ac:dyDescent="0.3">
      <c r="A31" s="40"/>
      <c r="B31" s="51" t="s">
        <v>276</v>
      </c>
      <c r="C31" s="138"/>
      <c r="E31" s="186">
        <v>116</v>
      </c>
      <c r="H31">
        <v>120</v>
      </c>
      <c r="I31">
        <v>125</v>
      </c>
      <c r="J31">
        <v>129</v>
      </c>
      <c r="K31">
        <v>38</v>
      </c>
      <c r="L31">
        <v>43</v>
      </c>
      <c r="M31" s="1">
        <v>46</v>
      </c>
    </row>
    <row r="32" spans="1:13" s="3" customFormat="1" x14ac:dyDescent="0.3">
      <c r="A32" s="101"/>
      <c r="B32" s="102"/>
      <c r="C32" s="154"/>
      <c r="D32" s="154"/>
      <c r="E32" s="186"/>
      <c r="F32" s="158"/>
      <c r="M32" s="33"/>
    </row>
    <row r="33" spans="1:15" x14ac:dyDescent="0.3">
      <c r="A33" s="40"/>
      <c r="B33" s="52" t="s">
        <v>39</v>
      </c>
      <c r="C33" s="149"/>
      <c r="D33" s="149"/>
      <c r="E33" s="185"/>
      <c r="F33" s="176"/>
      <c r="G33" s="103" t="s">
        <v>277</v>
      </c>
      <c r="I33" s="124"/>
    </row>
    <row r="34" spans="1:15" x14ac:dyDescent="0.3">
      <c r="A34" s="40"/>
      <c r="B34" s="51" t="s">
        <v>258</v>
      </c>
      <c r="C34" s="155"/>
      <c r="G34" s="155">
        <v>41</v>
      </c>
      <c r="H34" s="155"/>
      <c r="I34" s="169"/>
      <c r="J34" s="155"/>
      <c r="K34" s="155"/>
      <c r="L34" s="155"/>
      <c r="M34" s="22"/>
    </row>
    <row r="35" spans="1:15" x14ac:dyDescent="0.3">
      <c r="A35" s="40"/>
      <c r="B35" s="51" t="s">
        <v>191</v>
      </c>
      <c r="C35" s="155"/>
      <c r="G35" s="155">
        <v>36</v>
      </c>
      <c r="H35" s="155"/>
      <c r="I35" s="169"/>
      <c r="J35" s="155"/>
      <c r="K35" s="155"/>
      <c r="L35" s="155"/>
      <c r="M35" s="22"/>
    </row>
    <row r="36" spans="1:15" x14ac:dyDescent="0.3">
      <c r="A36" s="40"/>
      <c r="B36" s="51" t="s">
        <v>260</v>
      </c>
      <c r="C36" s="170"/>
      <c r="D36" s="147"/>
      <c r="G36" s="155">
        <v>41</v>
      </c>
      <c r="H36" s="155"/>
      <c r="I36" s="171"/>
      <c r="J36" s="155"/>
      <c r="K36" s="155"/>
      <c r="L36" s="155"/>
      <c r="M36" s="22"/>
    </row>
    <row r="37" spans="1:15" x14ac:dyDescent="0.3">
      <c r="A37" s="40"/>
      <c r="B37" s="164" t="s">
        <v>278</v>
      </c>
      <c r="C37" s="155"/>
      <c r="G37" s="155">
        <v>0.3</v>
      </c>
      <c r="H37" s="155"/>
      <c r="I37" s="169"/>
      <c r="J37" s="155"/>
      <c r="K37" s="155"/>
      <c r="L37" s="155"/>
      <c r="M37" s="22"/>
    </row>
    <row r="38" spans="1:15" s="115" customFormat="1" x14ac:dyDescent="0.3">
      <c r="A38" s="40"/>
      <c r="B38" s="164" t="s">
        <v>279</v>
      </c>
      <c r="C38" s="158"/>
      <c r="D38" s="154"/>
      <c r="E38" s="186"/>
      <c r="F38" s="158"/>
      <c r="G38" s="158">
        <v>0.41</v>
      </c>
      <c r="H38" s="158"/>
      <c r="I38" s="172"/>
      <c r="J38" s="158"/>
      <c r="K38" s="158"/>
      <c r="L38" s="158"/>
      <c r="M38" s="186"/>
      <c r="N38" s="3"/>
      <c r="O38" s="3"/>
    </row>
    <row r="39" spans="1:15" s="115" customFormat="1" x14ac:dyDescent="0.3">
      <c r="A39" s="40"/>
      <c r="B39" s="164" t="s">
        <v>263</v>
      </c>
      <c r="C39" s="158"/>
      <c r="D39" s="154"/>
      <c r="E39" s="186"/>
      <c r="F39" s="158"/>
      <c r="G39" s="158">
        <v>5.17</v>
      </c>
      <c r="H39" s="158"/>
      <c r="I39" s="172"/>
      <c r="J39" s="158"/>
      <c r="K39" s="158"/>
      <c r="L39" s="158"/>
      <c r="M39" s="186"/>
      <c r="N39" s="3"/>
      <c r="O39" s="3"/>
    </row>
    <row r="40" spans="1:15" x14ac:dyDescent="0.3">
      <c r="A40" s="40"/>
      <c r="B40" s="164" t="s">
        <v>264</v>
      </c>
      <c r="C40" s="155"/>
      <c r="G40" s="155">
        <v>3.88</v>
      </c>
      <c r="H40" s="155"/>
      <c r="I40" s="169"/>
      <c r="J40" s="155"/>
      <c r="K40" s="155"/>
      <c r="L40" s="155"/>
      <c r="M40" s="22"/>
    </row>
    <row r="41" spans="1:15" x14ac:dyDescent="0.3">
      <c r="A41" s="40"/>
      <c r="B41" s="164" t="s">
        <v>265</v>
      </c>
      <c r="C41" s="155"/>
      <c r="G41" s="155">
        <v>0.82599999999999996</v>
      </c>
      <c r="H41" s="155"/>
      <c r="I41" s="169"/>
      <c r="J41" s="155"/>
      <c r="K41" s="155"/>
      <c r="L41" s="155"/>
      <c r="M41" s="22"/>
    </row>
    <row r="42" spans="1:15" x14ac:dyDescent="0.3">
      <c r="B42" s="164" t="s">
        <v>266</v>
      </c>
      <c r="C42" s="155"/>
      <c r="G42" s="155">
        <v>0.94499999999999995</v>
      </c>
      <c r="H42" s="155"/>
      <c r="I42" s="169"/>
      <c r="J42" s="155"/>
      <c r="K42" s="155"/>
      <c r="L42" s="155"/>
      <c r="M42" s="22"/>
    </row>
    <row r="43" spans="1:15" x14ac:dyDescent="0.3">
      <c r="B43" s="164" t="s">
        <v>267</v>
      </c>
      <c r="C43" s="155"/>
      <c r="G43" s="155">
        <v>0.74199999999999999</v>
      </c>
      <c r="H43" s="155"/>
      <c r="I43" s="155"/>
      <c r="J43" s="155"/>
      <c r="K43" s="155"/>
      <c r="L43" s="155"/>
      <c r="M43" s="22"/>
    </row>
    <row r="44" spans="1:15" x14ac:dyDescent="0.3">
      <c r="B44" s="164" t="s">
        <v>268</v>
      </c>
      <c r="C44" s="155"/>
      <c r="G44" s="155">
        <v>0.81699999999999995</v>
      </c>
      <c r="H44" s="155"/>
      <c r="I44" s="155"/>
      <c r="J44" s="155"/>
      <c r="K44" s="155"/>
      <c r="L44" s="155"/>
      <c r="M44" s="22"/>
    </row>
    <row r="45" spans="1:15" s="115" customFormat="1" x14ac:dyDescent="0.3">
      <c r="A45" s="40"/>
      <c r="B45" s="51" t="s">
        <v>269</v>
      </c>
      <c r="C45" s="157"/>
      <c r="D45" s="150"/>
      <c r="E45" s="205"/>
      <c r="F45" s="157"/>
      <c r="G45" s="157">
        <v>14</v>
      </c>
      <c r="H45" s="157"/>
      <c r="I45" s="157"/>
      <c r="J45" s="157"/>
      <c r="K45" s="157"/>
      <c r="L45" s="157"/>
      <c r="M45" s="205"/>
    </row>
    <row r="46" spans="1:15" s="13" customFormat="1" x14ac:dyDescent="0.3">
      <c r="A46" s="50" t="s">
        <v>167</v>
      </c>
      <c r="B46" s="105" t="s">
        <v>270</v>
      </c>
      <c r="C46" s="113"/>
      <c r="D46" s="177"/>
      <c r="E46" s="192"/>
      <c r="F46" s="175"/>
      <c r="G46" s="13">
        <f>G10*C11</f>
        <v>5.0794487394957984E-11</v>
      </c>
      <c r="M46" s="197"/>
    </row>
    <row r="47" spans="1:15" x14ac:dyDescent="0.3">
      <c r="A47" s="40"/>
      <c r="B47" s="51" t="s">
        <v>271</v>
      </c>
      <c r="C47" s="138"/>
      <c r="G47" s="155">
        <v>330</v>
      </c>
    </row>
    <row r="48" spans="1:15" x14ac:dyDescent="0.3">
      <c r="B48" s="164" t="s">
        <v>272</v>
      </c>
      <c r="D48" s="148"/>
      <c r="G48" s="13">
        <v>1.7100000000000001E-8</v>
      </c>
    </row>
    <row r="49" spans="1:13" s="115" customFormat="1" x14ac:dyDescent="0.3">
      <c r="A49" s="40"/>
      <c r="B49" s="51" t="s">
        <v>273</v>
      </c>
      <c r="C49" s="150"/>
      <c r="D49" s="150"/>
      <c r="E49" s="205"/>
      <c r="F49" s="157"/>
      <c r="G49" s="115">
        <v>228</v>
      </c>
      <c r="M49" s="202"/>
    </row>
    <row r="50" spans="1:13" x14ac:dyDescent="0.3">
      <c r="B50" s="51" t="s">
        <v>274</v>
      </c>
      <c r="G50">
        <v>864</v>
      </c>
    </row>
    <row r="51" spans="1:13" x14ac:dyDescent="0.3">
      <c r="B51" s="51" t="s">
        <v>280</v>
      </c>
      <c r="G51">
        <v>41</v>
      </c>
    </row>
    <row r="52" spans="1:13" x14ac:dyDescent="0.3">
      <c r="B52" s="51" t="s">
        <v>226</v>
      </c>
      <c r="G52">
        <v>69</v>
      </c>
    </row>
  </sheetData>
  <phoneticPr fontId="16" type="noConversion"/>
  <pageMargins left="0.7" right="0.7" top="0.75" bottom="0.75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E6284-D417-4A0A-A664-46CC2BBD0AC3}">
  <sheetPr codeName="Feuil7"/>
  <dimension ref="A1:V63"/>
  <sheetViews>
    <sheetView topLeftCell="A20" zoomScale="75" zoomScaleNormal="61" workbookViewId="0">
      <selection activeCell="I6" sqref="I6"/>
    </sheetView>
  </sheetViews>
  <sheetFormatPr baseColWidth="10" defaultColWidth="11.44140625" defaultRowHeight="14.4" x14ac:dyDescent="0.3"/>
  <cols>
    <col min="1" max="1" width="24.6640625" customWidth="1"/>
    <col min="2" max="2" width="12" bestFit="1" customWidth="1"/>
    <col min="3" max="3" width="11.33203125" customWidth="1"/>
    <col min="5" max="5" width="21.88671875" bestFit="1" customWidth="1"/>
    <col min="8" max="8" width="24.5546875" customWidth="1"/>
    <col min="9" max="9" width="10.44140625" customWidth="1"/>
    <col min="10" max="10" width="23.6640625" bestFit="1" customWidth="1"/>
    <col min="11" max="11" width="10.33203125" customWidth="1"/>
  </cols>
  <sheetData>
    <row r="1" spans="1:22" x14ac:dyDescent="0.3">
      <c r="A1" s="2" t="s">
        <v>281</v>
      </c>
    </row>
    <row r="4" spans="1:22" ht="15.6" x14ac:dyDescent="0.3">
      <c r="A4" s="76" t="s">
        <v>186</v>
      </c>
      <c r="B4" s="20" t="s">
        <v>69</v>
      </c>
      <c r="H4" s="28" t="s">
        <v>27</v>
      </c>
      <c r="I4" s="6"/>
    </row>
    <row r="5" spans="1:22" x14ac:dyDescent="0.3">
      <c r="A5" t="s">
        <v>103</v>
      </c>
      <c r="B5" s="25">
        <f>(K23*(I12-I14)/(I15-I13))</f>
        <v>78.272727272727266</v>
      </c>
      <c r="C5" s="25"/>
      <c r="H5" s="21" t="s">
        <v>282</v>
      </c>
      <c r="I5" s="21">
        <v>0.64</v>
      </c>
    </row>
    <row r="6" spans="1:22" x14ac:dyDescent="0.3">
      <c r="A6" t="s">
        <v>283</v>
      </c>
      <c r="B6">
        <f>I13</f>
        <v>5</v>
      </c>
      <c r="H6" s="17" t="s">
        <v>284</v>
      </c>
      <c r="I6" s="17">
        <f>saturation!E10/84</f>
        <v>1.1224107142857143</v>
      </c>
      <c r="J6" s="6"/>
    </row>
    <row r="7" spans="1:22" x14ac:dyDescent="0.3">
      <c r="H7" s="17" t="s">
        <v>270</v>
      </c>
      <c r="I7" s="13">
        <v>2.2200000000000002E-11</v>
      </c>
      <c r="J7" s="6"/>
    </row>
    <row r="8" spans="1:22" x14ac:dyDescent="0.3">
      <c r="A8" s="76" t="s">
        <v>198</v>
      </c>
      <c r="B8" s="20" t="s">
        <v>69</v>
      </c>
      <c r="C8" s="20" t="s">
        <v>199</v>
      </c>
      <c r="D8" s="20" t="s">
        <v>200</v>
      </c>
      <c r="F8" s="108"/>
      <c r="H8" s="21" t="s">
        <v>194</v>
      </c>
      <c r="I8" s="21">
        <v>71</v>
      </c>
      <c r="J8" s="6"/>
    </row>
    <row r="9" spans="1:22" x14ac:dyDescent="0.3">
      <c r="A9" t="s">
        <v>191</v>
      </c>
      <c r="B9" s="14">
        <f>I8</f>
        <v>71</v>
      </c>
      <c r="H9" s="21" t="s">
        <v>285</v>
      </c>
      <c r="I9" s="21">
        <v>82</v>
      </c>
      <c r="J9" s="6"/>
    </row>
    <row r="10" spans="1:22" x14ac:dyDescent="0.3">
      <c r="A10" t="s">
        <v>48</v>
      </c>
      <c r="B10" s="27">
        <f>I5*B9/1000*84</f>
        <v>3.8169599999999995</v>
      </c>
      <c r="C10" s="6">
        <f>I5/OMD!B3*84</f>
        <v>0.64</v>
      </c>
      <c r="D10" s="79">
        <v>0.96299999999999997</v>
      </c>
      <c r="H10" s="17" t="s">
        <v>31</v>
      </c>
      <c r="I10" s="66">
        <v>1</v>
      </c>
    </row>
    <row r="11" spans="1:22" x14ac:dyDescent="0.3">
      <c r="A11" t="s">
        <v>286</v>
      </c>
      <c r="B11" s="27">
        <f>0.5*I10*B9*ABSO!C32/1000</f>
        <v>6.184099999999999</v>
      </c>
      <c r="C11">
        <f>0.5*I10</f>
        <v>0.5</v>
      </c>
      <c r="D11" s="73">
        <v>0.99199999999999999</v>
      </c>
      <c r="H11" s="94" t="s">
        <v>39</v>
      </c>
      <c r="I11" s="98">
        <f>ABS(I10-1)</f>
        <v>0</v>
      </c>
    </row>
    <row r="12" spans="1:22" x14ac:dyDescent="0.3">
      <c r="A12" t="s">
        <v>287</v>
      </c>
      <c r="B12" s="14">
        <f>B9*0.3*ABSO!C33/1000*I11</f>
        <v>0</v>
      </c>
      <c r="C12">
        <f>0.3*I11</f>
        <v>0</v>
      </c>
      <c r="D12" s="79">
        <v>0.84881249999999997</v>
      </c>
      <c r="H12" s="17" t="s">
        <v>288</v>
      </c>
      <c r="I12" s="3">
        <v>40</v>
      </c>
    </row>
    <row r="13" spans="1:22" x14ac:dyDescent="0.3">
      <c r="A13" t="s">
        <v>289</v>
      </c>
      <c r="B13" s="14">
        <f>I9</f>
        <v>82</v>
      </c>
      <c r="D13" s="56" cm="1">
        <f t="array" ref="D13">_xlfn.IFS($I$10=1,D10*D11,$I$11=1,D10*D12)</f>
        <v>0.95529599999999992</v>
      </c>
      <c r="H13" s="17" t="s">
        <v>283</v>
      </c>
      <c r="I13">
        <v>5</v>
      </c>
    </row>
    <row r="14" spans="1:22" x14ac:dyDescent="0.3">
      <c r="A14" t="s">
        <v>288</v>
      </c>
      <c r="B14" s="3">
        <f>I12</f>
        <v>40</v>
      </c>
      <c r="H14" s="17" t="s">
        <v>290</v>
      </c>
      <c r="I14" s="3">
        <v>19</v>
      </c>
    </row>
    <row r="15" spans="1:22" x14ac:dyDescent="0.3">
      <c r="C15" s="3"/>
      <c r="H15" s="17" t="s">
        <v>291</v>
      </c>
      <c r="I15" s="3">
        <v>27</v>
      </c>
    </row>
    <row r="16" spans="1:22" x14ac:dyDescent="0.3">
      <c r="A16" s="76" t="s">
        <v>205</v>
      </c>
      <c r="B16" s="20" t="s">
        <v>145</v>
      </c>
      <c r="C16" s="3"/>
      <c r="H16" s="3"/>
      <c r="I16" s="54"/>
      <c r="P16" s="126" t="s">
        <v>292</v>
      </c>
      <c r="Q16" s="126"/>
      <c r="R16" s="126"/>
      <c r="S16" s="126"/>
      <c r="T16" s="126"/>
      <c r="U16" s="126"/>
      <c r="V16" s="126"/>
    </row>
    <row r="17" spans="1:22" ht="15.6" x14ac:dyDescent="0.3">
      <c r="A17" t="s">
        <v>207</v>
      </c>
      <c r="B17" s="30">
        <f>I5*84</f>
        <v>53.76</v>
      </c>
      <c r="C17" s="3"/>
      <c r="H17" s="28" t="s">
        <v>62</v>
      </c>
      <c r="I17" s="6"/>
      <c r="J17" s="6"/>
      <c r="P17" s="126" t="s">
        <v>293</v>
      </c>
      <c r="Q17" s="126">
        <v>20</v>
      </c>
      <c r="R17" s="126">
        <v>25</v>
      </c>
      <c r="S17" s="126">
        <v>30</v>
      </c>
      <c r="T17" s="126">
        <v>35</v>
      </c>
      <c r="U17" s="126">
        <v>40</v>
      </c>
      <c r="V17" s="126"/>
    </row>
    <row r="18" spans="1:22" x14ac:dyDescent="0.3">
      <c r="A18" t="s">
        <v>208</v>
      </c>
      <c r="B18" s="32">
        <f>I6*84</f>
        <v>94.282499999999999</v>
      </c>
      <c r="C18" s="3"/>
      <c r="H18" s="44" t="s">
        <v>21</v>
      </c>
      <c r="I18" s="44" t="s">
        <v>67</v>
      </c>
      <c r="J18" s="44" t="s">
        <v>68</v>
      </c>
      <c r="K18" s="3"/>
      <c r="L18" s="3"/>
      <c r="M18" s="3"/>
      <c r="P18" s="126" t="s">
        <v>290</v>
      </c>
      <c r="Q18" s="126">
        <v>11.22</v>
      </c>
      <c r="R18" s="126">
        <v>13.37</v>
      </c>
      <c r="S18" s="126">
        <v>15.72</v>
      </c>
      <c r="T18" s="126">
        <v>18.16</v>
      </c>
      <c r="U18" s="126">
        <v>20.75</v>
      </c>
      <c r="V18" s="127">
        <f>U18/U24</f>
        <v>1.0921052631578947</v>
      </c>
    </row>
    <row r="19" spans="1:22" x14ac:dyDescent="0.3">
      <c r="A19" t="s">
        <v>290</v>
      </c>
      <c r="B19">
        <f>I14</f>
        <v>19</v>
      </c>
      <c r="H19" s="3"/>
      <c r="I19" s="3"/>
      <c r="J19" s="3" t="s">
        <v>294</v>
      </c>
      <c r="K19" s="27">
        <f>B27</f>
        <v>51.091453185904058</v>
      </c>
      <c r="L19" s="3"/>
      <c r="M19" s="3"/>
      <c r="P19" s="126" t="s">
        <v>283</v>
      </c>
      <c r="Q19" s="126">
        <v>5</v>
      </c>
      <c r="R19" s="126">
        <v>5</v>
      </c>
      <c r="S19" s="126">
        <v>5</v>
      </c>
      <c r="T19" s="126">
        <v>5</v>
      </c>
      <c r="U19" s="126">
        <v>5</v>
      </c>
      <c r="V19" s="126"/>
    </row>
    <row r="20" spans="1:22" x14ac:dyDescent="0.3">
      <c r="A20" t="s">
        <v>295</v>
      </c>
      <c r="B20" s="118">
        <f>DCMD!I9*(1-B17/B18)*((ABSO!E30*DCMD!I10)+(ABSO!F30*DCMD!I11))</f>
        <v>30.908546814095939</v>
      </c>
      <c r="C20" s="6"/>
      <c r="H20" s="3"/>
      <c r="I20" s="3"/>
      <c r="J20" s="33" t="s">
        <v>296</v>
      </c>
      <c r="K20" s="3"/>
      <c r="L20" s="3"/>
      <c r="M20" s="3"/>
      <c r="P20" s="126" t="s">
        <v>291</v>
      </c>
      <c r="Q20" s="126">
        <v>16.600000000000001</v>
      </c>
      <c r="R20" s="126">
        <v>20.69</v>
      </c>
      <c r="S20" s="126">
        <v>24.04</v>
      </c>
      <c r="T20" s="126">
        <v>27.2</v>
      </c>
      <c r="U20" s="126">
        <v>30.25</v>
      </c>
      <c r="V20" s="127">
        <f>U20/U26</f>
        <v>1.1203703703703705</v>
      </c>
    </row>
    <row r="21" spans="1:22" x14ac:dyDescent="0.3">
      <c r="H21" s="3"/>
      <c r="I21" s="3"/>
      <c r="J21" s="3" t="s">
        <v>297</v>
      </c>
      <c r="K21" s="27">
        <f>B30</f>
        <v>109.18127408682321</v>
      </c>
      <c r="L21" s="3"/>
      <c r="M21" s="3"/>
    </row>
    <row r="22" spans="1:22" x14ac:dyDescent="0.3">
      <c r="B22" s="20" t="s">
        <v>69</v>
      </c>
      <c r="C22" s="20" t="s">
        <v>199</v>
      </c>
      <c r="D22" s="20" t="s">
        <v>200</v>
      </c>
      <c r="H22" s="3"/>
      <c r="I22" s="33" t="s">
        <v>75</v>
      </c>
      <c r="J22" s="33" t="s">
        <v>206</v>
      </c>
      <c r="K22" s="3"/>
      <c r="L22" s="3"/>
      <c r="M22" s="3"/>
      <c r="P22" s="6" t="s">
        <v>298</v>
      </c>
      <c r="Q22" s="6"/>
      <c r="R22" s="6"/>
      <c r="S22" s="6"/>
      <c r="T22" s="6"/>
      <c r="U22" s="6"/>
    </row>
    <row r="23" spans="1:22" x14ac:dyDescent="0.3">
      <c r="A23" t="s">
        <v>214</v>
      </c>
      <c r="B23" s="14">
        <f>B10/B18*1000</f>
        <v>40.484289237133076</v>
      </c>
      <c r="C23" s="6"/>
      <c r="H23" s="3"/>
      <c r="I23" s="3"/>
      <c r="J23" s="3" t="s">
        <v>299</v>
      </c>
      <c r="K23" s="27">
        <f>I9</f>
        <v>82</v>
      </c>
      <c r="L23" s="3"/>
      <c r="M23" s="3"/>
      <c r="P23" s="7" t="s">
        <v>293</v>
      </c>
      <c r="Q23" s="7">
        <v>20</v>
      </c>
      <c r="R23" s="7">
        <v>25</v>
      </c>
      <c r="S23" s="7">
        <v>30</v>
      </c>
      <c r="T23" s="7">
        <v>35</v>
      </c>
      <c r="U23" s="7">
        <v>40</v>
      </c>
    </row>
    <row r="24" spans="1:22" x14ac:dyDescent="0.3">
      <c r="A24" t="s">
        <v>208</v>
      </c>
      <c r="B24" s="14">
        <f>B10</f>
        <v>3.8169599999999995</v>
      </c>
      <c r="C24" s="6">
        <f>I6</f>
        <v>1.1224107142857143</v>
      </c>
      <c r="D24" s="123">
        <v>0.95699999999999996</v>
      </c>
      <c r="H24" s="3"/>
      <c r="I24" s="3"/>
      <c r="J24" s="3" t="s">
        <v>300</v>
      </c>
      <c r="K24" s="119">
        <f>B5</f>
        <v>78.272727272727266</v>
      </c>
      <c r="P24" s="6" t="s">
        <v>290</v>
      </c>
      <c r="Q24" s="6">
        <f t="shared" ref="Q24:S24" si="0">Q18/$V$18</f>
        <v>10.273734939759038</v>
      </c>
      <c r="R24" s="6">
        <f t="shared" si="0"/>
        <v>12.242409638554216</v>
      </c>
      <c r="S24" s="6">
        <f t="shared" si="0"/>
        <v>14.394216867469881</v>
      </c>
      <c r="T24" s="6">
        <f>T18/$V$18</f>
        <v>16.628433734939758</v>
      </c>
      <c r="U24" s="6">
        <v>19</v>
      </c>
    </row>
    <row r="25" spans="1:22" x14ac:dyDescent="0.3">
      <c r="A25" t="s">
        <v>286</v>
      </c>
      <c r="B25" s="27">
        <f>B11</f>
        <v>6.184099999999999</v>
      </c>
      <c r="C25" s="6">
        <f>C11*B9/B23</f>
        <v>0.87688337053571441</v>
      </c>
      <c r="D25" s="73">
        <v>0.99199999999999999</v>
      </c>
      <c r="F25" t="s">
        <v>301</v>
      </c>
      <c r="G25" s="11">
        <f>((D10*D11)+(D24*D25))/2</f>
        <v>0.95231999999999994</v>
      </c>
      <c r="H25" s="3"/>
      <c r="I25" s="3"/>
      <c r="J25" s="3" t="s">
        <v>302</v>
      </c>
      <c r="K25" s="26">
        <f>B42</f>
        <v>165.84263828063015</v>
      </c>
      <c r="L25" s="4" t="s">
        <v>220</v>
      </c>
      <c r="M25" s="27">
        <f>K25/Global!$B$8*10000</f>
        <v>37.863616045805969</v>
      </c>
      <c r="N25" s="6" t="s">
        <v>217</v>
      </c>
      <c r="P25" s="6" t="s">
        <v>283</v>
      </c>
      <c r="Q25" s="6">
        <v>5</v>
      </c>
      <c r="R25" s="6">
        <v>5</v>
      </c>
      <c r="S25" s="6">
        <v>5</v>
      </c>
      <c r="T25" s="6">
        <v>5</v>
      </c>
      <c r="U25" s="6">
        <v>5</v>
      </c>
    </row>
    <row r="26" spans="1:22" x14ac:dyDescent="0.3">
      <c r="A26" t="s">
        <v>287</v>
      </c>
      <c r="B26" s="27">
        <f>B12</f>
        <v>0</v>
      </c>
      <c r="C26" s="6">
        <f>C12*B9/B23</f>
        <v>0</v>
      </c>
      <c r="D26" s="78">
        <v>0.91100000000000003</v>
      </c>
      <c r="F26" t="s">
        <v>303</v>
      </c>
      <c r="G26" s="11" t="s">
        <v>304</v>
      </c>
      <c r="H26" s="3"/>
      <c r="I26" s="3"/>
      <c r="J26" s="3" t="s">
        <v>305</v>
      </c>
      <c r="K26" s="91">
        <f>E51/1000</f>
        <v>12.031387553375513</v>
      </c>
      <c r="L26" s="3"/>
      <c r="M26" s="3"/>
      <c r="P26" s="6" t="s">
        <v>291</v>
      </c>
      <c r="Q26" s="6">
        <f t="shared" ref="Q26:S26" si="1">Q20/$V$20</f>
        <v>14.816528925619835</v>
      </c>
      <c r="R26" s="6">
        <f t="shared" si="1"/>
        <v>18.46710743801653</v>
      </c>
      <c r="S26" s="6">
        <f t="shared" si="1"/>
        <v>21.457190082644626</v>
      </c>
      <c r="T26" s="6">
        <f>T20/$V$20</f>
        <v>24.277685950413222</v>
      </c>
      <c r="U26" s="6">
        <v>27</v>
      </c>
    </row>
    <row r="27" spans="1:22" x14ac:dyDescent="0.3">
      <c r="A27" t="s">
        <v>218</v>
      </c>
      <c r="B27" s="14">
        <f>I9-B20</f>
        <v>51.091453185904058</v>
      </c>
      <c r="D27" s="56" cm="1">
        <f t="array" ref="D27">_xlfn.IFS($I$10=1,D24*D25,$I$11=1,D24*D26)</f>
        <v>0.94934399999999997</v>
      </c>
      <c r="J27" s="3" t="s">
        <v>306</v>
      </c>
      <c r="K27" s="23">
        <f>E52/1000</f>
        <v>12.5694</v>
      </c>
      <c r="L27" s="3"/>
      <c r="M27" s="3"/>
      <c r="P27" s="135" t="s">
        <v>250</v>
      </c>
      <c r="Q27" s="126"/>
      <c r="R27" s="134">
        <v>1.9999999999999999E-11</v>
      </c>
      <c r="S27" s="134">
        <v>2.5000000000000001E-11</v>
      </c>
      <c r="T27" s="134">
        <v>2.2000000000000002E-11</v>
      </c>
      <c r="U27" s="134">
        <v>2.3000000000000001E-11</v>
      </c>
    </row>
    <row r="28" spans="1:22" x14ac:dyDescent="0.3">
      <c r="E28" s="84"/>
      <c r="F28" s="84"/>
      <c r="G28" s="84"/>
      <c r="H28" s="85"/>
      <c r="I28" s="86"/>
      <c r="P28" s="6" t="s">
        <v>307</v>
      </c>
      <c r="R28" s="13">
        <f>R27*omd_data!$C$11</f>
        <v>1.7102521008403359E-11</v>
      </c>
      <c r="S28" s="13">
        <f>S27*omd_data!$C$11</f>
        <v>2.1378151260504204E-11</v>
      </c>
      <c r="T28" s="13">
        <f>T27*omd_data!$C$11</f>
        <v>1.88127731092437E-11</v>
      </c>
      <c r="U28" s="178">
        <f>U27*omd_data!$C$11</f>
        <v>1.9667899159663866E-11</v>
      </c>
    </row>
    <row r="29" spans="1:22" x14ac:dyDescent="0.3">
      <c r="A29" s="76" t="s">
        <v>226</v>
      </c>
      <c r="B29" s="20" t="s">
        <v>69</v>
      </c>
      <c r="E29" s="84"/>
      <c r="F29" s="84"/>
      <c r="G29" s="84"/>
      <c r="H29" s="86"/>
      <c r="I29" s="86"/>
      <c r="J29" s="3"/>
      <c r="K29" s="63"/>
      <c r="L29" s="3"/>
      <c r="M29" s="3"/>
    </row>
    <row r="30" spans="1:22" x14ac:dyDescent="0.3">
      <c r="A30" t="s">
        <v>308</v>
      </c>
      <c r="B30" s="27">
        <f>B5+B20</f>
        <v>109.18127408682321</v>
      </c>
      <c r="E30" s="84"/>
      <c r="F30" s="84"/>
      <c r="G30" s="84"/>
      <c r="H30" s="137"/>
      <c r="I30" s="84"/>
    </row>
    <row r="31" spans="1:22" x14ac:dyDescent="0.3">
      <c r="A31" t="s">
        <v>291</v>
      </c>
      <c r="B31">
        <f>I15</f>
        <v>27</v>
      </c>
      <c r="E31" s="84"/>
      <c r="F31" s="84"/>
      <c r="G31" s="84"/>
      <c r="H31" s="87"/>
      <c r="I31" s="84"/>
      <c r="P31" s="126" t="s">
        <v>292</v>
      </c>
      <c r="Q31" s="126"/>
      <c r="R31" s="126"/>
      <c r="S31" s="126"/>
      <c r="T31" s="126"/>
      <c r="U31" s="126"/>
      <c r="V31" s="126"/>
    </row>
    <row r="32" spans="1:22" x14ac:dyDescent="0.3">
      <c r="B32" s="11"/>
      <c r="E32" s="84"/>
      <c r="F32" s="84"/>
      <c r="G32" s="84"/>
      <c r="H32" s="87"/>
      <c r="I32" s="84"/>
      <c r="P32" s="126" t="s">
        <v>293</v>
      </c>
      <c r="Q32" s="126">
        <v>40</v>
      </c>
      <c r="R32" s="126">
        <v>40</v>
      </c>
      <c r="S32" s="126">
        <v>40</v>
      </c>
      <c r="T32" s="126">
        <v>40</v>
      </c>
      <c r="U32" s="126">
        <v>40</v>
      </c>
      <c r="V32" s="126"/>
    </row>
    <row r="33" spans="1:22" x14ac:dyDescent="0.3">
      <c r="C33" s="138"/>
      <c r="D33" s="138"/>
      <c r="G33" s="136"/>
      <c r="H33" s="143"/>
      <c r="P33" s="126" t="s">
        <v>290</v>
      </c>
      <c r="Q33" s="126">
        <v>20.75</v>
      </c>
      <c r="R33" s="126">
        <v>23.02</v>
      </c>
      <c r="S33" s="126">
        <v>24.45</v>
      </c>
      <c r="T33" s="126">
        <v>28.17</v>
      </c>
      <c r="U33" s="126">
        <v>31.12</v>
      </c>
      <c r="V33" s="127">
        <f>Q33/U24</f>
        <v>1.0921052631578947</v>
      </c>
    </row>
    <row r="34" spans="1:22" x14ac:dyDescent="0.3">
      <c r="A34" s="155" t="s">
        <v>309</v>
      </c>
      <c r="B34" s="144">
        <f>EXP(23.1964-(3816.44/(-46.13+D34)))</f>
        <v>7300.180249778181</v>
      </c>
      <c r="C34" s="138" t="s">
        <v>288</v>
      </c>
      <c r="D34" s="142">
        <f>B14+273</f>
        <v>313</v>
      </c>
      <c r="E34" t="s">
        <v>233</v>
      </c>
      <c r="F34">
        <f>(D13*B34)-(B36)</f>
        <v>6130.8012176496313</v>
      </c>
      <c r="G34" s="136"/>
      <c r="H34" s="136"/>
      <c r="P34" s="126" t="s">
        <v>283</v>
      </c>
      <c r="Q34" s="126">
        <v>5</v>
      </c>
      <c r="R34" s="126">
        <v>10</v>
      </c>
      <c r="S34" s="126">
        <v>15</v>
      </c>
      <c r="T34" s="126">
        <v>20</v>
      </c>
      <c r="U34" s="126">
        <v>25</v>
      </c>
      <c r="V34" s="126"/>
    </row>
    <row r="35" spans="1:22" x14ac:dyDescent="0.3">
      <c r="A35" s="155" t="s">
        <v>310</v>
      </c>
      <c r="B35" s="144">
        <f>EXP(23.1964-(3816.44/(-46.13+D35)))</f>
        <v>2152.1303234404704</v>
      </c>
      <c r="C35" s="138" t="s">
        <v>290</v>
      </c>
      <c r="D35" s="142">
        <f>B19+273</f>
        <v>292</v>
      </c>
      <c r="E35" t="s">
        <v>235</v>
      </c>
      <c r="F35">
        <f>(D27*B35)-(B37)</f>
        <v>-1466.8187489128875</v>
      </c>
      <c r="P35" s="126" t="s">
        <v>291</v>
      </c>
      <c r="Q35" s="126">
        <v>30.25</v>
      </c>
      <c r="R35" s="126">
        <v>32.28</v>
      </c>
      <c r="S35" s="126">
        <v>34.03</v>
      </c>
      <c r="T35" s="126">
        <v>35.340000000000003</v>
      </c>
      <c r="U35" s="126">
        <v>36.520000000000003</v>
      </c>
      <c r="V35" s="127">
        <f>Q35/U26</f>
        <v>1.1203703703703705</v>
      </c>
    </row>
    <row r="36" spans="1:22" x14ac:dyDescent="0.3">
      <c r="A36" s="155" t="s">
        <v>311</v>
      </c>
      <c r="B36" s="144">
        <f>EXP(23.1964-(3816.44/(-46.13+D36)))</f>
        <v>843.03177424246496</v>
      </c>
      <c r="C36" s="138" t="s">
        <v>283</v>
      </c>
      <c r="D36" s="142">
        <f>B6+273</f>
        <v>278</v>
      </c>
      <c r="E36" t="s">
        <v>237</v>
      </c>
      <c r="F36" s="25">
        <f>(F35+F34)/2</f>
        <v>2331.9912343683718</v>
      </c>
    </row>
    <row r="37" spans="1:22" x14ac:dyDescent="0.3">
      <c r="A37" s="155" t="s">
        <v>312</v>
      </c>
      <c r="B37" s="144">
        <f>EXP(23.1964-(3816.44/(-46.13+D37)))</f>
        <v>3509.9307586891573</v>
      </c>
      <c r="C37" s="138" t="s">
        <v>291</v>
      </c>
      <c r="D37" s="142">
        <f>B31+273</f>
        <v>300</v>
      </c>
      <c r="P37" s="128" t="s">
        <v>313</v>
      </c>
      <c r="Q37" s="128"/>
      <c r="R37" s="128"/>
      <c r="S37" s="128"/>
      <c r="T37" s="128"/>
      <c r="U37" s="128"/>
    </row>
    <row r="38" spans="1:22" x14ac:dyDescent="0.3">
      <c r="B38" s="25"/>
      <c r="H38" s="138"/>
      <c r="I38" s="142"/>
      <c r="P38" s="128" t="s">
        <v>293</v>
      </c>
      <c r="Q38" s="128">
        <v>40</v>
      </c>
      <c r="R38" s="128">
        <v>40</v>
      </c>
      <c r="S38" s="128">
        <v>40</v>
      </c>
      <c r="T38" s="128">
        <v>40</v>
      </c>
      <c r="U38" s="128">
        <v>40</v>
      </c>
    </row>
    <row r="39" spans="1:22" x14ac:dyDescent="0.3">
      <c r="A39" t="s">
        <v>227</v>
      </c>
      <c r="B39" s="30">
        <f>I7</f>
        <v>2.2200000000000002E-11</v>
      </c>
      <c r="C39" s="84"/>
      <c r="D39" s="84"/>
      <c r="E39" s="84"/>
      <c r="H39" s="138"/>
      <c r="I39" s="138"/>
      <c r="P39" s="128" t="s">
        <v>290</v>
      </c>
      <c r="Q39" s="128">
        <v>19</v>
      </c>
      <c r="R39" s="128">
        <f>R33/$V$33</f>
        <v>21.07855421686747</v>
      </c>
      <c r="S39" s="128">
        <f t="shared" ref="S39:U39" si="2">S33/$V$33</f>
        <v>22.387951807228916</v>
      </c>
      <c r="T39" s="128">
        <f t="shared" si="2"/>
        <v>25.794216867469881</v>
      </c>
      <c r="U39" s="128">
        <f t="shared" si="2"/>
        <v>28.49542168674699</v>
      </c>
    </row>
    <row r="40" spans="1:22" x14ac:dyDescent="0.3">
      <c r="A40" t="s">
        <v>232</v>
      </c>
      <c r="B40" s="25">
        <f>F36</f>
        <v>2331.9912343683718</v>
      </c>
      <c r="C40" s="87"/>
      <c r="D40" s="87"/>
      <c r="E40" s="84"/>
      <c r="H40" s="138"/>
      <c r="I40" s="142"/>
      <c r="P40" s="129" t="s">
        <v>283</v>
      </c>
      <c r="Q40" s="129">
        <v>5</v>
      </c>
      <c r="R40" s="129">
        <v>10</v>
      </c>
      <c r="S40" s="129">
        <v>15</v>
      </c>
      <c r="T40" s="129">
        <v>20</v>
      </c>
      <c r="U40" s="129">
        <v>25</v>
      </c>
    </row>
    <row r="41" spans="1:22" x14ac:dyDescent="0.3">
      <c r="A41" t="s">
        <v>234</v>
      </c>
      <c r="B41" s="13">
        <f>B39*B40</f>
        <v>5.1770205402977859E-8</v>
      </c>
      <c r="C41" s="88"/>
      <c r="D41" s="88"/>
      <c r="E41" s="84"/>
      <c r="P41" s="128" t="s">
        <v>291</v>
      </c>
      <c r="Q41" s="128">
        <v>27</v>
      </c>
      <c r="R41" s="128">
        <f>R35/$V$35</f>
        <v>28.81190082644628</v>
      </c>
      <c r="S41" s="128">
        <f t="shared" ref="S41:U41" si="3">S35/$V$35</f>
        <v>30.373884297520661</v>
      </c>
      <c r="T41" s="128">
        <f t="shared" si="3"/>
        <v>31.543140495867767</v>
      </c>
      <c r="U41" s="128">
        <f t="shared" si="3"/>
        <v>32.596363636363634</v>
      </c>
    </row>
    <row r="42" spans="1:22" x14ac:dyDescent="0.3">
      <c r="A42" t="s">
        <v>236</v>
      </c>
      <c r="B42" s="27">
        <f>B20/(3600*1000*B41)</f>
        <v>165.84263828063015</v>
      </c>
      <c r="C42" s="89"/>
      <c r="D42" s="89"/>
      <c r="E42" s="86"/>
      <c r="P42" s="135" t="s">
        <v>250</v>
      </c>
      <c r="Q42" s="134">
        <v>2.3000000000000001E-11</v>
      </c>
      <c r="R42" s="134">
        <v>2.3000000000000001E-11</v>
      </c>
      <c r="S42" s="134">
        <v>2.3000000000000001E-11</v>
      </c>
      <c r="T42" s="134">
        <v>2.3000000000000001E-11</v>
      </c>
    </row>
    <row r="43" spans="1:22" x14ac:dyDescent="0.3">
      <c r="B43" s="3"/>
      <c r="C43" s="86"/>
      <c r="D43" s="86"/>
      <c r="E43" s="86"/>
      <c r="P43" s="128" t="s">
        <v>314</v>
      </c>
      <c r="Q43" s="13">
        <f>Q42*omd_data!$C$11</f>
        <v>1.9667899159663866E-11</v>
      </c>
      <c r="R43" s="13">
        <f>R42*omd_data!$C$11</f>
        <v>1.9667899159663866E-11</v>
      </c>
      <c r="S43" s="13">
        <f>S42*omd_data!$C$11</f>
        <v>1.9667899159663866E-11</v>
      </c>
      <c r="T43" s="13">
        <f>T42*omd_data!$C$11</f>
        <v>1.9667899159663866E-11</v>
      </c>
    </row>
    <row r="44" spans="1:22" x14ac:dyDescent="0.3">
      <c r="A44" s="1" t="s">
        <v>123</v>
      </c>
      <c r="B44" s="3"/>
      <c r="C44" s="3"/>
      <c r="D44" s="8" t="s">
        <v>124</v>
      </c>
      <c r="E44" s="8" t="s">
        <v>125</v>
      </c>
      <c r="F44" t="s">
        <v>141</v>
      </c>
      <c r="G44" s="20" t="s">
        <v>315</v>
      </c>
    </row>
    <row r="45" spans="1:22" x14ac:dyDescent="0.3">
      <c r="A45" t="s">
        <v>316</v>
      </c>
      <c r="B45" s="3"/>
      <c r="C45" s="3"/>
      <c r="D45" s="25">
        <v>80</v>
      </c>
      <c r="E45" s="27">
        <f>D45*0.001*3600</f>
        <v>288</v>
      </c>
      <c r="F45" s="168">
        <f>E45/$E$51</f>
        <v>2.3937388661310229E-2</v>
      </c>
      <c r="G45" s="25">
        <f>E45</f>
        <v>288</v>
      </c>
    </row>
    <row r="46" spans="1:22" x14ac:dyDescent="0.3">
      <c r="A46" t="s">
        <v>317</v>
      </c>
      <c r="B46" s="3"/>
      <c r="C46" s="3"/>
      <c r="D46" s="25">
        <f>B9*4.2*(B14-25)/3600*1000</f>
        <v>1242.5</v>
      </c>
      <c r="E46" s="27">
        <f>D46*0.001*3600</f>
        <v>4473</v>
      </c>
      <c r="F46" s="168">
        <f t="shared" ref="F46:F49" si="4">E46/$E$51</f>
        <v>0.37177756764597447</v>
      </c>
      <c r="G46" s="25">
        <f>E46*Global!$B$13</f>
        <v>5591.25</v>
      </c>
    </row>
    <row r="47" spans="1:22" x14ac:dyDescent="0.3">
      <c r="A47" t="s">
        <v>318</v>
      </c>
      <c r="B47" s="3"/>
      <c r="C47" s="3"/>
      <c r="D47" s="25">
        <f>B5*4.2*(I15-I13)/3600*1000</f>
        <v>2009</v>
      </c>
      <c r="E47" s="27">
        <f>D47*0.001*3600</f>
        <v>7232.4</v>
      </c>
      <c r="F47" s="168">
        <f t="shared" si="4"/>
        <v>0.60112767275715306</v>
      </c>
      <c r="G47" s="25">
        <f>E47*Global!$B$13</f>
        <v>9040.5</v>
      </c>
    </row>
    <row r="48" spans="1:22" x14ac:dyDescent="0.3">
      <c r="A48" t="s">
        <v>319</v>
      </c>
      <c r="B48" s="3"/>
      <c r="C48" s="3"/>
      <c r="D48" s="25">
        <f>B30/1000/3600/Global!B25*101325</f>
        <v>6.1459958871374232</v>
      </c>
      <c r="E48" s="27">
        <f>D48*0.001*3600</f>
        <v>22.125585193694722</v>
      </c>
      <c r="F48" s="168">
        <f t="shared" si="4"/>
        <v>1.838988653265283E-3</v>
      </c>
      <c r="G48">
        <v>288</v>
      </c>
    </row>
    <row r="49" spans="1:7" x14ac:dyDescent="0.3">
      <c r="A49" t="s">
        <v>320</v>
      </c>
      <c r="B49" s="3"/>
      <c r="C49" s="3"/>
      <c r="D49" s="25">
        <f>B5/1000/3600/Global!B25*101325</f>
        <v>4.4061022727272725</v>
      </c>
      <c r="E49" s="27">
        <f t="shared" ref="E49" si="5">D49*0.001*3600</f>
        <v>15.861968181818181</v>
      </c>
      <c r="F49" s="168">
        <f t="shared" si="4"/>
        <v>1.3183822822969379E-3</v>
      </c>
      <c r="G49">
        <v>288</v>
      </c>
    </row>
    <row r="51" spans="1:7" x14ac:dyDescent="0.3">
      <c r="B51" s="3"/>
      <c r="C51" s="3"/>
      <c r="D51" t="s">
        <v>321</v>
      </c>
      <c r="E51" s="27">
        <f>SUM(E45:E49)</f>
        <v>12031.387553375513</v>
      </c>
    </row>
    <row r="52" spans="1:7" x14ac:dyDescent="0.3">
      <c r="B52" s="3"/>
      <c r="C52" s="3"/>
      <c r="D52" t="s">
        <v>322</v>
      </c>
      <c r="E52" s="25">
        <f>(288*3)+E47+E46</f>
        <v>12569.4</v>
      </c>
    </row>
    <row r="53" spans="1:7" x14ac:dyDescent="0.3">
      <c r="D53" s="25"/>
    </row>
    <row r="57" spans="1:7" x14ac:dyDescent="0.3">
      <c r="B57" s="3"/>
      <c r="C57" s="3"/>
    </row>
    <row r="62" spans="1:7" x14ac:dyDescent="0.3">
      <c r="B62" s="3"/>
      <c r="C62" s="3"/>
    </row>
    <row r="63" spans="1:7" x14ac:dyDescent="0.3">
      <c r="B63" s="3"/>
      <c r="C63" s="3"/>
    </row>
  </sheetData>
  <phoneticPr fontId="16" type="noConversion"/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67C1F-59EA-4ADD-A629-556072491645}">
  <dimension ref="A1:AE46"/>
  <sheetViews>
    <sheetView topLeftCell="B1" zoomScale="79" workbookViewId="0">
      <pane xSplit="1" topLeftCell="C1" activePane="topRight" state="frozen"/>
      <selection activeCell="B1" sqref="B1"/>
      <selection pane="topRight" activeCell="B6" sqref="B6"/>
    </sheetView>
  </sheetViews>
  <sheetFormatPr baseColWidth="10" defaultColWidth="11.44140625" defaultRowHeight="14.4" x14ac:dyDescent="0.3"/>
  <cols>
    <col min="2" max="2" width="21.33203125" customWidth="1"/>
    <col min="3" max="4" width="11.5546875" style="138"/>
    <col min="5" max="5" width="11.44140625" style="1"/>
    <col min="21" max="21" width="11.5546875" style="1"/>
  </cols>
  <sheetData>
    <row r="1" spans="1:21" x14ac:dyDescent="0.3">
      <c r="C1" s="154"/>
    </row>
    <row r="2" spans="1:21" x14ac:dyDescent="0.3">
      <c r="C2" s="145"/>
    </row>
    <row r="3" spans="1:21" x14ac:dyDescent="0.3">
      <c r="A3" s="96"/>
      <c r="B3" s="51" t="s">
        <v>323</v>
      </c>
      <c r="C3" s="146"/>
      <c r="D3" s="146"/>
      <c r="E3" s="1">
        <v>0.64</v>
      </c>
      <c r="G3">
        <v>0.64</v>
      </c>
      <c r="H3">
        <v>0.64</v>
      </c>
      <c r="I3">
        <v>0.64</v>
      </c>
      <c r="K3">
        <v>0.64</v>
      </c>
      <c r="L3">
        <v>0.64</v>
      </c>
      <c r="M3">
        <v>0.64</v>
      </c>
      <c r="N3">
        <v>1.26</v>
      </c>
      <c r="O3">
        <v>1.26</v>
      </c>
      <c r="Q3">
        <v>0.64</v>
      </c>
      <c r="R3">
        <v>0.64</v>
      </c>
      <c r="S3">
        <v>0.64</v>
      </c>
      <c r="U3" s="1">
        <v>1.26</v>
      </c>
    </row>
    <row r="4" spans="1:21" x14ac:dyDescent="0.3">
      <c r="A4" s="97" t="s">
        <v>244</v>
      </c>
      <c r="B4" s="51" t="s">
        <v>245</v>
      </c>
      <c r="C4" s="147"/>
      <c r="D4" s="146"/>
      <c r="E4" s="1">
        <v>1.1200000000000001</v>
      </c>
      <c r="G4">
        <v>1.08</v>
      </c>
      <c r="H4">
        <v>1.04</v>
      </c>
      <c r="I4">
        <v>1.01</v>
      </c>
      <c r="K4">
        <v>1.23</v>
      </c>
      <c r="L4">
        <v>1.46</v>
      </c>
      <c r="M4">
        <v>1.68</v>
      </c>
      <c r="N4">
        <v>1.46</v>
      </c>
      <c r="O4">
        <v>1.68</v>
      </c>
      <c r="Q4">
        <v>1.1599999999999999</v>
      </c>
      <c r="R4">
        <v>1.18</v>
      </c>
      <c r="S4">
        <v>1.24</v>
      </c>
      <c r="U4" s="1">
        <v>1.51</v>
      </c>
    </row>
    <row r="5" spans="1:21" x14ac:dyDescent="0.3">
      <c r="A5" s="239"/>
      <c r="B5" s="51" t="s">
        <v>410</v>
      </c>
      <c r="C5" s="147"/>
      <c r="D5" s="146"/>
      <c r="K5" s="46">
        <v>1.1000000000000001</v>
      </c>
      <c r="L5" s="46">
        <v>1.3</v>
      </c>
      <c r="M5" s="46">
        <v>1.5</v>
      </c>
      <c r="N5" s="46">
        <v>1.3</v>
      </c>
      <c r="O5" s="46">
        <v>1.5</v>
      </c>
      <c r="Q5" s="46">
        <v>1</v>
      </c>
      <c r="R5" s="46">
        <v>1</v>
      </c>
      <c r="S5" s="46">
        <v>1</v>
      </c>
    </row>
    <row r="6" spans="1:21" x14ac:dyDescent="0.3">
      <c r="A6" s="239"/>
      <c r="B6" s="51" t="s">
        <v>247</v>
      </c>
      <c r="C6" s="146"/>
      <c r="D6" s="146"/>
    </row>
    <row r="7" spans="1:21" x14ac:dyDescent="0.3">
      <c r="A7" s="239"/>
      <c r="B7" s="40"/>
      <c r="C7" s="146"/>
      <c r="D7" s="146"/>
    </row>
    <row r="8" spans="1:21" x14ac:dyDescent="0.3">
      <c r="A8" s="239"/>
      <c r="B8" s="51" t="s">
        <v>324</v>
      </c>
      <c r="C8" s="113">
        <v>2.3000000000000001E-11</v>
      </c>
      <c r="D8" s="113">
        <v>2.6000000000000001E-11</v>
      </c>
      <c r="N8" s="13">
        <v>1.7999999999999999E-11</v>
      </c>
    </row>
    <row r="9" spans="1:21" x14ac:dyDescent="0.3">
      <c r="A9" s="239"/>
      <c r="B9" s="40"/>
      <c r="C9" s="146"/>
      <c r="D9" s="146"/>
    </row>
    <row r="10" spans="1:21" x14ac:dyDescent="0.3">
      <c r="A10" s="40"/>
      <c r="B10" s="51" t="s">
        <v>249</v>
      </c>
      <c r="C10" s="146"/>
      <c r="D10" s="146"/>
    </row>
    <row r="11" spans="1:21" x14ac:dyDescent="0.3">
      <c r="A11" s="40"/>
      <c r="B11" s="40"/>
      <c r="C11" s="146"/>
    </row>
    <row r="12" spans="1:21" x14ac:dyDescent="0.3">
      <c r="A12" s="40"/>
      <c r="B12" s="52" t="s">
        <v>31</v>
      </c>
      <c r="D12" s="149"/>
      <c r="E12" s="196" t="s">
        <v>325</v>
      </c>
      <c r="F12" s="103"/>
      <c r="G12" s="103" t="s">
        <v>326</v>
      </c>
      <c r="H12" s="103" t="s">
        <v>327</v>
      </c>
      <c r="I12" s="103" t="s">
        <v>328</v>
      </c>
      <c r="K12" s="103" t="s">
        <v>329</v>
      </c>
      <c r="L12" s="103" t="s">
        <v>330</v>
      </c>
      <c r="M12" s="103" t="s">
        <v>331</v>
      </c>
      <c r="N12" s="103" t="s">
        <v>332</v>
      </c>
      <c r="O12" s="103" t="s">
        <v>333</v>
      </c>
      <c r="Q12" s="103" t="s">
        <v>334</v>
      </c>
      <c r="R12" s="103" t="s">
        <v>335</v>
      </c>
      <c r="S12" s="103" t="s">
        <v>336</v>
      </c>
      <c r="U12" s="196" t="s">
        <v>337</v>
      </c>
    </row>
    <row r="13" spans="1:21" x14ac:dyDescent="0.3">
      <c r="A13" s="40"/>
      <c r="B13" s="51" t="s">
        <v>338</v>
      </c>
      <c r="E13" s="1" t="s">
        <v>339</v>
      </c>
      <c r="G13">
        <v>82</v>
      </c>
      <c r="H13">
        <v>82</v>
      </c>
      <c r="I13">
        <v>82</v>
      </c>
      <c r="K13">
        <v>82</v>
      </c>
      <c r="L13">
        <v>82</v>
      </c>
      <c r="M13">
        <v>82</v>
      </c>
      <c r="N13">
        <v>42</v>
      </c>
      <c r="O13">
        <v>42</v>
      </c>
      <c r="Q13">
        <v>82</v>
      </c>
      <c r="R13">
        <v>82</v>
      </c>
      <c r="S13">
        <v>82</v>
      </c>
      <c r="U13" s="1">
        <v>42</v>
      </c>
    </row>
    <row r="14" spans="1:21" s="115" customFormat="1" x14ac:dyDescent="0.3">
      <c r="A14" s="101"/>
      <c r="B14" s="51" t="s">
        <v>260</v>
      </c>
      <c r="C14" s="150"/>
      <c r="D14" s="165"/>
      <c r="E14" s="202">
        <v>78</v>
      </c>
      <c r="G14" s="115">
        <v>78</v>
      </c>
      <c r="H14" s="115">
        <v>78</v>
      </c>
      <c r="I14" s="115">
        <v>78</v>
      </c>
      <c r="K14" s="115">
        <v>78</v>
      </c>
      <c r="L14" s="115">
        <v>78</v>
      </c>
      <c r="M14" s="115">
        <v>78</v>
      </c>
      <c r="N14" s="115">
        <v>40</v>
      </c>
      <c r="O14" s="115">
        <v>40</v>
      </c>
      <c r="Q14" s="115">
        <v>82</v>
      </c>
      <c r="R14" s="115">
        <v>94</v>
      </c>
      <c r="S14" s="115">
        <v>101</v>
      </c>
      <c r="U14" s="202">
        <v>40</v>
      </c>
    </row>
    <row r="15" spans="1:21" x14ac:dyDescent="0.3">
      <c r="B15" s="51" t="s">
        <v>261</v>
      </c>
      <c r="E15" s="1">
        <v>0.5</v>
      </c>
      <c r="G15">
        <v>0.5</v>
      </c>
      <c r="H15">
        <v>0.5</v>
      </c>
      <c r="I15">
        <v>0.5</v>
      </c>
      <c r="K15">
        <v>0.5</v>
      </c>
      <c r="L15">
        <v>0.5</v>
      </c>
      <c r="M15">
        <v>0.5</v>
      </c>
      <c r="N15">
        <v>0.5</v>
      </c>
      <c r="O15">
        <v>0.5</v>
      </c>
      <c r="Q15">
        <v>0.5</v>
      </c>
      <c r="R15">
        <v>0.5</v>
      </c>
      <c r="S15">
        <v>0.5</v>
      </c>
      <c r="U15" s="1">
        <v>0.5</v>
      </c>
    </row>
    <row r="16" spans="1:21" x14ac:dyDescent="0.3">
      <c r="B16" s="51" t="s">
        <v>262</v>
      </c>
      <c r="E16" s="1">
        <v>0.88</v>
      </c>
      <c r="G16">
        <v>0.85</v>
      </c>
      <c r="H16">
        <v>0.85</v>
      </c>
      <c r="I16">
        <v>0.82</v>
      </c>
      <c r="K16">
        <v>0.96</v>
      </c>
      <c r="L16">
        <v>0.96</v>
      </c>
      <c r="M16">
        <v>0.96</v>
      </c>
      <c r="N16">
        <v>0.57999999999999996</v>
      </c>
      <c r="O16">
        <v>0.67</v>
      </c>
      <c r="Q16">
        <v>0.91</v>
      </c>
      <c r="R16">
        <v>0.92</v>
      </c>
      <c r="S16">
        <v>0.97</v>
      </c>
      <c r="U16" s="1">
        <v>0.6</v>
      </c>
    </row>
    <row r="17" spans="1:21" x14ac:dyDescent="0.3">
      <c r="B17" s="51" t="s">
        <v>265</v>
      </c>
      <c r="E17" s="1">
        <v>0.97299999999999998</v>
      </c>
      <c r="G17">
        <v>0.97299999999999998</v>
      </c>
      <c r="H17">
        <v>0.97299999999999998</v>
      </c>
      <c r="I17">
        <v>0.97299999999999998</v>
      </c>
      <c r="K17">
        <v>0.97299999999999998</v>
      </c>
      <c r="L17">
        <v>0.97299999999999998</v>
      </c>
      <c r="M17">
        <v>0.97299999999999998</v>
      </c>
      <c r="N17">
        <v>0.95499999999999996</v>
      </c>
      <c r="O17">
        <v>0.95499999999999996</v>
      </c>
      <c r="Q17">
        <v>0.97299999999999998</v>
      </c>
      <c r="R17">
        <v>0.97299999999999998</v>
      </c>
      <c r="S17">
        <v>0.97299999999999998</v>
      </c>
      <c r="U17" s="1">
        <v>0.95499999999999996</v>
      </c>
    </row>
    <row r="18" spans="1:21" x14ac:dyDescent="0.3">
      <c r="B18" s="51" t="s">
        <v>266</v>
      </c>
      <c r="E18" s="232">
        <v>0.94</v>
      </c>
      <c r="G18">
        <v>0.94599999999999995</v>
      </c>
      <c r="H18">
        <v>0.94599999999999995</v>
      </c>
      <c r="I18">
        <v>0.94599999999999995</v>
      </c>
      <c r="K18">
        <v>0.95199999999999996</v>
      </c>
      <c r="L18">
        <v>0.95199999999999996</v>
      </c>
      <c r="M18">
        <v>0.95199999999999996</v>
      </c>
      <c r="N18">
        <v>0.95499999999999996</v>
      </c>
      <c r="O18">
        <v>0.95299999999999996</v>
      </c>
      <c r="Q18">
        <v>0.95099999999999996</v>
      </c>
      <c r="R18">
        <v>0.95299999999999996</v>
      </c>
      <c r="S18">
        <v>0.95299999999999996</v>
      </c>
      <c r="U18" s="1">
        <v>0.95399999999999996</v>
      </c>
    </row>
    <row r="19" spans="1:21" x14ac:dyDescent="0.3">
      <c r="B19" s="51" t="s">
        <v>288</v>
      </c>
      <c r="E19" s="33">
        <v>40</v>
      </c>
      <c r="G19" s="3">
        <v>35</v>
      </c>
      <c r="H19" s="7">
        <v>30</v>
      </c>
      <c r="I19" s="14">
        <v>25</v>
      </c>
      <c r="K19" s="3">
        <v>40</v>
      </c>
      <c r="L19" s="3">
        <v>40</v>
      </c>
      <c r="M19" s="3">
        <v>40</v>
      </c>
      <c r="N19" s="3">
        <v>40</v>
      </c>
      <c r="O19" s="3">
        <v>40</v>
      </c>
      <c r="Q19">
        <v>40</v>
      </c>
      <c r="R19">
        <v>40</v>
      </c>
      <c r="S19">
        <v>40</v>
      </c>
      <c r="U19" s="44">
        <v>25</v>
      </c>
    </row>
    <row r="20" spans="1:21" x14ac:dyDescent="0.3">
      <c r="B20" s="51" t="s">
        <v>283</v>
      </c>
      <c r="E20" s="1">
        <v>5</v>
      </c>
      <c r="G20">
        <v>5</v>
      </c>
      <c r="H20" s="6">
        <v>5</v>
      </c>
      <c r="I20" s="6">
        <v>5</v>
      </c>
      <c r="K20">
        <v>5</v>
      </c>
      <c r="L20">
        <v>5</v>
      </c>
      <c r="M20">
        <v>5</v>
      </c>
      <c r="N20" s="3">
        <v>5</v>
      </c>
      <c r="O20" s="3">
        <v>5</v>
      </c>
      <c r="Q20">
        <v>10</v>
      </c>
      <c r="R20">
        <v>15</v>
      </c>
      <c r="S20">
        <v>20</v>
      </c>
      <c r="U20" s="7">
        <v>5</v>
      </c>
    </row>
    <row r="21" spans="1:21" x14ac:dyDescent="0.3">
      <c r="B21" s="51" t="s">
        <v>290</v>
      </c>
      <c r="E21" s="33">
        <v>19</v>
      </c>
      <c r="G21" s="3">
        <v>16.63</v>
      </c>
      <c r="H21" s="6">
        <v>14.39</v>
      </c>
      <c r="I21" s="14">
        <v>12.24</v>
      </c>
      <c r="K21" s="3">
        <v>19</v>
      </c>
      <c r="L21" s="3">
        <v>19</v>
      </c>
      <c r="M21" s="3">
        <v>19</v>
      </c>
      <c r="N21" s="3">
        <v>19</v>
      </c>
      <c r="O21" s="3">
        <v>19</v>
      </c>
      <c r="Q21" s="6">
        <v>21.07855421686747</v>
      </c>
      <c r="R21" s="6">
        <v>22.387951807228916</v>
      </c>
      <c r="S21" s="6">
        <v>25.794216867469881</v>
      </c>
      <c r="U21" s="44">
        <v>12.24</v>
      </c>
    </row>
    <row r="22" spans="1:21" x14ac:dyDescent="0.3">
      <c r="B22" s="51" t="s">
        <v>291</v>
      </c>
      <c r="E22" s="33">
        <v>27</v>
      </c>
      <c r="G22" s="3">
        <v>24.28</v>
      </c>
      <c r="H22" s="6">
        <v>21.46</v>
      </c>
      <c r="I22" s="14">
        <v>18.47</v>
      </c>
      <c r="K22" s="3">
        <v>27</v>
      </c>
      <c r="L22" s="3">
        <v>27</v>
      </c>
      <c r="M22" s="3">
        <v>27</v>
      </c>
      <c r="N22" s="3">
        <v>27</v>
      </c>
      <c r="O22" s="3">
        <v>27</v>
      </c>
      <c r="Q22" s="6">
        <v>28.81190082644628</v>
      </c>
      <c r="R22" s="6">
        <v>30.373884297520661</v>
      </c>
      <c r="S22" s="6">
        <v>31.543140495867767</v>
      </c>
      <c r="U22" s="44">
        <v>18.47</v>
      </c>
    </row>
    <row r="23" spans="1:21" x14ac:dyDescent="0.3">
      <c r="B23" s="51" t="s">
        <v>340</v>
      </c>
      <c r="E23" s="118">
        <v>7300.180249778181</v>
      </c>
      <c r="G23" s="25">
        <v>7300.180249778181</v>
      </c>
      <c r="H23" s="25">
        <v>4183.5835022748342</v>
      </c>
      <c r="I23" s="25">
        <v>3114.986510908343</v>
      </c>
      <c r="K23" s="25">
        <v>7300.180249778181</v>
      </c>
      <c r="L23" s="25">
        <v>7300.180249778181</v>
      </c>
      <c r="M23" s="25">
        <v>7300.180249778181</v>
      </c>
      <c r="N23" s="25">
        <v>7300.180249778181</v>
      </c>
      <c r="O23" s="25">
        <v>7300.180249778181</v>
      </c>
      <c r="Q23" s="25">
        <v>7300.180249778181</v>
      </c>
      <c r="R23" s="25">
        <v>7300.180249778181</v>
      </c>
      <c r="S23" s="25">
        <v>7300.180249778181</v>
      </c>
      <c r="U23" s="118">
        <v>3114.986510908343</v>
      </c>
    </row>
    <row r="24" spans="1:21" x14ac:dyDescent="0.3">
      <c r="B24" s="51" t="s">
        <v>341</v>
      </c>
      <c r="E24" s="118">
        <v>2152.1303234404704</v>
      </c>
      <c r="G24" s="25">
        <v>1850.359295383882</v>
      </c>
      <c r="H24" s="25">
        <v>1599.7702215971924</v>
      </c>
      <c r="I24" s="25">
        <v>1387.6651648851862</v>
      </c>
      <c r="K24" s="25">
        <v>2152.1303234404704</v>
      </c>
      <c r="L24" s="25">
        <v>2152.1303234404704</v>
      </c>
      <c r="M24" s="25">
        <v>2152.1303234404704</v>
      </c>
      <c r="N24" s="25">
        <v>2152.1303234404704</v>
      </c>
      <c r="O24" s="25">
        <v>2152.1303234404704</v>
      </c>
      <c r="Q24" s="25">
        <v>2451.2075541472295</v>
      </c>
      <c r="R24" s="25">
        <v>2657.638929756889</v>
      </c>
      <c r="S24" s="25">
        <v>3266.9422931237777</v>
      </c>
      <c r="U24" s="118">
        <v>1387.6651648851862</v>
      </c>
    </row>
    <row r="25" spans="1:21" x14ac:dyDescent="0.3">
      <c r="B25" s="51" t="s">
        <v>342</v>
      </c>
      <c r="E25" s="118">
        <v>843.03177424246496</v>
      </c>
      <c r="G25" s="25">
        <v>843.03177424246496</v>
      </c>
      <c r="H25" s="25">
        <v>843.03177424246496</v>
      </c>
      <c r="I25" s="25">
        <v>843.03177424246496</v>
      </c>
      <c r="K25" s="25">
        <v>843.03177424246496</v>
      </c>
      <c r="L25" s="25">
        <v>843.03177424246496</v>
      </c>
      <c r="M25" s="25">
        <v>843.03177424246496</v>
      </c>
      <c r="N25" s="25">
        <v>843.03177424246496</v>
      </c>
      <c r="O25" s="25">
        <v>843.03177424246496</v>
      </c>
      <c r="Q25" s="25">
        <v>1193.2546503405335</v>
      </c>
      <c r="R25" s="25">
        <v>1664.8836397101547</v>
      </c>
      <c r="S25" s="25">
        <v>2291.7922484404248</v>
      </c>
      <c r="U25" s="118">
        <v>843.03177424246496</v>
      </c>
    </row>
    <row r="26" spans="1:21" x14ac:dyDescent="0.3">
      <c r="B26" s="51" t="s">
        <v>343</v>
      </c>
      <c r="E26" s="118">
        <v>3509.9307586891573</v>
      </c>
      <c r="G26" s="25">
        <v>2982.5709773370504</v>
      </c>
      <c r="H26" s="25">
        <v>2509.8517016400315</v>
      </c>
      <c r="I26" s="25">
        <v>2081.1614481675742</v>
      </c>
      <c r="K26" s="25">
        <v>3509.9307586891573</v>
      </c>
      <c r="L26" s="25">
        <v>3509.9307586891573</v>
      </c>
      <c r="M26" s="25">
        <v>3509.9307586891573</v>
      </c>
      <c r="N26" s="25">
        <v>3509.9307586891573</v>
      </c>
      <c r="O26" s="25">
        <v>3509.9307586891573</v>
      </c>
      <c r="Q26" s="25">
        <v>3904.4957938439034</v>
      </c>
      <c r="R26" s="25">
        <v>4274.9071441852875</v>
      </c>
      <c r="S26" s="25">
        <v>4571.7273850714892</v>
      </c>
      <c r="U26" s="118">
        <v>2081.1614481675742</v>
      </c>
    </row>
    <row r="27" spans="1:21" s="117" customFormat="1" x14ac:dyDescent="0.3">
      <c r="A27" s="27"/>
      <c r="B27" s="125" t="s">
        <v>344</v>
      </c>
      <c r="C27" s="162"/>
      <c r="D27" s="151"/>
      <c r="E27" s="203">
        <v>31</v>
      </c>
      <c r="G27" s="117">
        <v>29</v>
      </c>
      <c r="H27" s="115">
        <v>28</v>
      </c>
      <c r="I27" s="117">
        <v>26</v>
      </c>
      <c r="K27" s="117">
        <v>35</v>
      </c>
      <c r="L27" s="117">
        <v>40</v>
      </c>
      <c r="M27" s="117">
        <v>45</v>
      </c>
      <c r="N27" s="117">
        <v>5</v>
      </c>
      <c r="O27" s="117">
        <v>9</v>
      </c>
      <c r="Q27" s="117">
        <v>32</v>
      </c>
      <c r="R27" s="117">
        <v>33</v>
      </c>
      <c r="S27" s="117">
        <v>35</v>
      </c>
      <c r="U27" s="203">
        <v>6</v>
      </c>
    </row>
    <row r="28" spans="1:21" x14ac:dyDescent="0.3">
      <c r="A28" s="40" t="s">
        <v>167</v>
      </c>
      <c r="B28" s="51" t="s">
        <v>270</v>
      </c>
      <c r="D28" s="166"/>
      <c r="E28" s="197">
        <v>2.2200000000000002E-11</v>
      </c>
      <c r="F28" s="13"/>
      <c r="G28" s="13">
        <v>1.8799999999999999E-11</v>
      </c>
      <c r="H28" s="13">
        <v>2.1399999999999998E-11</v>
      </c>
      <c r="I28" s="13">
        <v>1.7100000000000001E-11</v>
      </c>
      <c r="K28" s="13">
        <f>E28</f>
        <v>2.2200000000000002E-11</v>
      </c>
      <c r="L28" s="13">
        <f>K28</f>
        <v>2.2200000000000002E-11</v>
      </c>
      <c r="M28" s="13">
        <f>L28</f>
        <v>2.2200000000000002E-11</v>
      </c>
      <c r="N28" s="13">
        <f>N8*omd_data!C11</f>
        <v>1.5392268907563025E-11</v>
      </c>
      <c r="O28" s="13">
        <f>N28</f>
        <v>1.5392268907563025E-11</v>
      </c>
      <c r="Q28" s="13">
        <v>1.97E-11</v>
      </c>
      <c r="R28" s="13">
        <v>1.97E-11</v>
      </c>
      <c r="S28" s="13">
        <v>1.97E-11</v>
      </c>
      <c r="U28" s="197">
        <f>I28</f>
        <v>1.7100000000000001E-11</v>
      </c>
    </row>
    <row r="29" spans="1:21" x14ac:dyDescent="0.3">
      <c r="A29" s="101"/>
      <c r="B29" s="51" t="s">
        <v>271</v>
      </c>
      <c r="E29" s="118">
        <v>2400</v>
      </c>
      <c r="G29" s="25">
        <v>2520</v>
      </c>
      <c r="H29" s="25">
        <v>1121</v>
      </c>
      <c r="I29" s="25">
        <v>714</v>
      </c>
      <c r="K29" s="25">
        <v>2400</v>
      </c>
      <c r="L29" s="25">
        <v>2400</v>
      </c>
      <c r="M29" s="25">
        <v>2400</v>
      </c>
      <c r="N29" s="25">
        <v>2338</v>
      </c>
      <c r="O29" s="25">
        <v>2336</v>
      </c>
      <c r="Q29" s="25">
        <v>2169</v>
      </c>
      <c r="R29" s="25">
        <v>1849</v>
      </c>
      <c r="S29" s="25">
        <v>1678</v>
      </c>
      <c r="U29" s="118">
        <v>688</v>
      </c>
    </row>
    <row r="30" spans="1:21" x14ac:dyDescent="0.3">
      <c r="A30" s="101"/>
      <c r="B30" s="51" t="s">
        <v>345</v>
      </c>
      <c r="E30" s="197">
        <v>5.3300000000000001E-8</v>
      </c>
      <c r="G30" s="13">
        <v>4.7400000000000001E-8</v>
      </c>
      <c r="H30" s="13">
        <v>2.4E-8</v>
      </c>
      <c r="I30" s="13">
        <v>1.22E-8</v>
      </c>
      <c r="K30" s="13">
        <v>5.2800000000000003E-8</v>
      </c>
      <c r="L30" s="13">
        <v>5.3300000000000001E-8</v>
      </c>
      <c r="M30" s="13">
        <v>5.3300000000000001E-8</v>
      </c>
      <c r="N30" s="13">
        <v>3.5999999999999998E-8</v>
      </c>
      <c r="O30" s="13">
        <v>3.5999999999999998E-8</v>
      </c>
      <c r="Q30" s="13">
        <v>4.2699999999999999E-8</v>
      </c>
      <c r="R30" s="13">
        <v>3.6400000000000002E-8</v>
      </c>
      <c r="S30" s="13">
        <v>3.3099999999999999E-8</v>
      </c>
      <c r="U30" s="197">
        <v>1.18E-8</v>
      </c>
    </row>
    <row r="31" spans="1:21" s="115" customFormat="1" x14ac:dyDescent="0.3">
      <c r="A31" s="101"/>
      <c r="B31" s="51" t="s">
        <v>273</v>
      </c>
      <c r="C31" s="150"/>
      <c r="D31" s="151"/>
      <c r="E31" s="202">
        <v>161</v>
      </c>
      <c r="G31" s="115">
        <v>260</v>
      </c>
      <c r="H31" s="115">
        <v>322</v>
      </c>
      <c r="I31" s="115">
        <v>598</v>
      </c>
      <c r="K31" s="115">
        <v>182</v>
      </c>
      <c r="L31" s="115">
        <v>210</v>
      </c>
      <c r="M31" s="115">
        <v>232</v>
      </c>
      <c r="N31" s="115">
        <v>39</v>
      </c>
      <c r="O31" s="115">
        <v>72</v>
      </c>
      <c r="Q31" s="115">
        <v>209</v>
      </c>
      <c r="R31" s="115">
        <v>251</v>
      </c>
      <c r="S31" s="115">
        <v>293</v>
      </c>
      <c r="U31" s="202">
        <v>146</v>
      </c>
    </row>
    <row r="32" spans="1:21" s="115" customFormat="1" x14ac:dyDescent="0.3">
      <c r="A32" s="101"/>
      <c r="B32" s="51" t="s">
        <v>346</v>
      </c>
      <c r="C32" s="150"/>
      <c r="D32" s="151"/>
      <c r="E32" s="203">
        <f>E31/(365*24*Global!$B$5)*10000</f>
        <v>36.757990867579913</v>
      </c>
      <c r="F32" s="162"/>
      <c r="G32" s="117">
        <f>G31/(365*24*Global!$B$5)*10000</f>
        <v>59.360730593607308</v>
      </c>
      <c r="H32" s="117">
        <f>H31/(365*24*Global!$B$5)*10000</f>
        <v>73.515981735159826</v>
      </c>
      <c r="I32" s="117">
        <f>I31/(365*24*Global!$B$5)*10000</f>
        <v>136.5296803652968</v>
      </c>
      <c r="J32" s="117"/>
      <c r="K32" s="117">
        <f>K31/(365*24*Global!$B$5)*10000</f>
        <v>41.552511415525117</v>
      </c>
      <c r="L32" s="117">
        <f>L31/(365*24*Global!$B$5)*10000</f>
        <v>47.945205479452056</v>
      </c>
      <c r="M32" s="117">
        <f>M31/(365*24*Global!$B$5)*10000</f>
        <v>52.968036529680369</v>
      </c>
      <c r="N32" s="117">
        <f>N31/(365*24*Global!$B$5)*10000</f>
        <v>8.9041095890410951</v>
      </c>
      <c r="O32" s="117">
        <f>O31/(365*24*Global!$B$5)*10000</f>
        <v>16.438356164383563</v>
      </c>
      <c r="P32" s="117">
        <f>P31/(365*24*Global!$B$5)*10000</f>
        <v>0</v>
      </c>
      <c r="Q32" s="117">
        <f>Q31/(365*24*Global!$B$5)*10000</f>
        <v>47.716894977168948</v>
      </c>
      <c r="R32" s="117">
        <f>R31/(365*24*Global!$B$5)*10000</f>
        <v>57.305936073059364</v>
      </c>
      <c r="S32" s="117">
        <f>S31/(365*24*Global!$B$5)*10000</f>
        <v>66.894977168949779</v>
      </c>
      <c r="U32" s="202"/>
    </row>
    <row r="33" spans="1:31" x14ac:dyDescent="0.3">
      <c r="A33" s="40"/>
      <c r="B33" s="51" t="s">
        <v>274</v>
      </c>
      <c r="C33" s="150"/>
      <c r="D33" s="151"/>
      <c r="E33" s="240">
        <v>12</v>
      </c>
      <c r="F33" s="115"/>
      <c r="G33" s="115">
        <v>9.6</v>
      </c>
      <c r="H33" s="115">
        <v>7.2</v>
      </c>
      <c r="I33" s="115">
        <v>4.7</v>
      </c>
      <c r="J33" s="115"/>
      <c r="K33" s="115">
        <v>12</v>
      </c>
      <c r="L33" s="115">
        <v>12</v>
      </c>
      <c r="M33" s="115">
        <v>12</v>
      </c>
      <c r="N33" s="115">
        <v>6.3</v>
      </c>
      <c r="O33" s="115">
        <v>6.3</v>
      </c>
      <c r="P33" s="115"/>
      <c r="Q33" s="115">
        <v>11.3</v>
      </c>
      <c r="R33" s="115">
        <v>10.9</v>
      </c>
      <c r="S33" s="115">
        <v>9.6999999999999993</v>
      </c>
      <c r="T33" s="115"/>
      <c r="U33" s="202">
        <v>3.1</v>
      </c>
      <c r="V33" s="115"/>
      <c r="W33" s="115"/>
      <c r="X33" s="115"/>
      <c r="Y33" s="115"/>
      <c r="Z33" s="115"/>
      <c r="AA33" s="115"/>
      <c r="AB33" s="115"/>
      <c r="AC33" s="115"/>
      <c r="AD33" s="115"/>
      <c r="AE33" s="115"/>
    </row>
    <row r="34" spans="1:31" x14ac:dyDescent="0.3">
      <c r="A34" s="40"/>
      <c r="B34" s="51" t="s">
        <v>205</v>
      </c>
      <c r="D34" s="153"/>
      <c r="E34" s="1">
        <v>51</v>
      </c>
      <c r="G34">
        <v>53</v>
      </c>
      <c r="H34" s="3">
        <v>54</v>
      </c>
      <c r="I34" s="3">
        <v>56</v>
      </c>
      <c r="J34" s="3"/>
      <c r="K34" s="3">
        <v>47</v>
      </c>
      <c r="L34" s="3">
        <v>42</v>
      </c>
      <c r="M34" s="3">
        <v>37</v>
      </c>
      <c r="N34" s="3">
        <v>37</v>
      </c>
      <c r="O34" s="3">
        <v>33</v>
      </c>
      <c r="P34" s="3"/>
      <c r="Q34" s="3">
        <v>50</v>
      </c>
      <c r="R34" s="3">
        <v>49</v>
      </c>
      <c r="S34" s="3">
        <v>47</v>
      </c>
      <c r="T34" s="3"/>
      <c r="U34" s="33">
        <v>36</v>
      </c>
      <c r="V34" s="3"/>
      <c r="W34" s="3"/>
      <c r="X34" s="3"/>
      <c r="Y34" s="3"/>
      <c r="Z34" s="3"/>
      <c r="AA34" s="3"/>
    </row>
    <row r="35" spans="1:31" x14ac:dyDescent="0.3">
      <c r="A35" s="40"/>
      <c r="B35" s="51" t="s">
        <v>221</v>
      </c>
      <c r="D35" s="153"/>
      <c r="E35" s="1">
        <v>109</v>
      </c>
      <c r="G35">
        <v>108</v>
      </c>
      <c r="H35" s="3">
        <v>106</v>
      </c>
      <c r="I35" s="3">
        <v>104</v>
      </c>
      <c r="J35" s="3"/>
      <c r="K35" s="3">
        <v>113</v>
      </c>
      <c r="L35" s="3">
        <v>119</v>
      </c>
      <c r="M35" s="3">
        <v>123</v>
      </c>
      <c r="N35" s="3">
        <v>45</v>
      </c>
      <c r="O35" s="3">
        <v>49</v>
      </c>
      <c r="P35" s="3"/>
      <c r="Q35" s="3">
        <v>115</v>
      </c>
      <c r="R35" s="3">
        <v>127</v>
      </c>
      <c r="S35" s="3">
        <v>136</v>
      </c>
      <c r="T35" s="3"/>
      <c r="U35" s="33">
        <v>46</v>
      </c>
      <c r="V35" s="3"/>
      <c r="W35" s="3"/>
      <c r="X35" s="3"/>
      <c r="Y35" s="3"/>
      <c r="Z35" s="3"/>
      <c r="AA35" s="3"/>
    </row>
    <row r="36" spans="1:31" x14ac:dyDescent="0.3">
      <c r="A36" s="40"/>
      <c r="B36" s="51" t="s">
        <v>347</v>
      </c>
      <c r="C36" s="142"/>
      <c r="D36" s="142"/>
      <c r="E36" s="233"/>
      <c r="F36" s="142"/>
      <c r="G36" s="144"/>
      <c r="H36" s="144"/>
      <c r="I36" s="144"/>
      <c r="J36" s="3"/>
      <c r="K36" s="3"/>
      <c r="L36" s="3"/>
    </row>
    <row r="37" spans="1:31" x14ac:dyDescent="0.3">
      <c r="A37" s="40"/>
      <c r="B37" s="52" t="s">
        <v>39</v>
      </c>
      <c r="D37" s="149"/>
      <c r="E37" s="234"/>
      <c r="F37" s="149"/>
      <c r="G37" s="149"/>
      <c r="H37" s="149"/>
      <c r="I37" s="149"/>
    </row>
    <row r="38" spans="1:31" x14ac:dyDescent="0.3">
      <c r="A38" s="40"/>
      <c r="B38" s="51" t="s">
        <v>338</v>
      </c>
    </row>
    <row r="39" spans="1:31" x14ac:dyDescent="0.3">
      <c r="A39" s="40"/>
      <c r="B39" s="51" t="s">
        <v>260</v>
      </c>
      <c r="C39" s="150"/>
      <c r="D39" s="167"/>
      <c r="E39" s="202"/>
      <c r="F39" s="115"/>
      <c r="G39" s="115"/>
      <c r="H39" s="115"/>
      <c r="I39" s="115"/>
      <c r="J39" s="115"/>
      <c r="K39" s="115"/>
    </row>
    <row r="40" spans="1:31" x14ac:dyDescent="0.3">
      <c r="A40" s="40"/>
      <c r="B40" s="51" t="s">
        <v>270</v>
      </c>
      <c r="D40" s="148"/>
    </row>
    <row r="41" spans="1:31" x14ac:dyDescent="0.3">
      <c r="A41" s="40"/>
      <c r="B41" s="51" t="s">
        <v>271</v>
      </c>
    </row>
    <row r="42" spans="1:31" x14ac:dyDescent="0.3">
      <c r="A42" s="40"/>
      <c r="B42" s="51" t="s">
        <v>273</v>
      </c>
      <c r="C42" s="150"/>
      <c r="D42" s="151"/>
      <c r="E42" s="202"/>
      <c r="F42" s="115"/>
      <c r="G42" s="115"/>
      <c r="H42" s="115"/>
      <c r="I42" s="115"/>
      <c r="J42" s="115"/>
      <c r="K42" s="115"/>
    </row>
    <row r="43" spans="1:31" x14ac:dyDescent="0.3">
      <c r="A43" s="40"/>
      <c r="B43" s="51" t="s">
        <v>348</v>
      </c>
      <c r="C43" s="150"/>
      <c r="D43" s="152"/>
      <c r="E43" s="202"/>
      <c r="F43" s="115"/>
      <c r="G43" s="115"/>
      <c r="H43" s="115"/>
      <c r="I43" s="115"/>
      <c r="J43" s="115"/>
      <c r="K43" s="115"/>
    </row>
    <row r="44" spans="1:31" x14ac:dyDescent="0.3">
      <c r="A44" s="40"/>
      <c r="B44" s="51" t="s">
        <v>274</v>
      </c>
      <c r="C44" s="146"/>
      <c r="E44" s="33"/>
      <c r="F44" s="3"/>
      <c r="G44" s="3"/>
      <c r="H44" s="3"/>
      <c r="I44" s="3"/>
    </row>
    <row r="45" spans="1:31" x14ac:dyDescent="0.3">
      <c r="A45" s="40"/>
      <c r="B45" s="51" t="s">
        <v>205</v>
      </c>
      <c r="C45" s="153"/>
      <c r="E45" s="33"/>
      <c r="F45" s="3"/>
      <c r="G45" s="3"/>
      <c r="H45" s="3"/>
      <c r="I45" s="3"/>
    </row>
    <row r="46" spans="1:31" x14ac:dyDescent="0.3">
      <c r="B46" s="51" t="s">
        <v>221</v>
      </c>
      <c r="E46" s="33"/>
      <c r="F46" s="3"/>
      <c r="G46" s="3"/>
      <c r="H46" s="3"/>
      <c r="I46" s="3"/>
    </row>
  </sheetData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A5AB1-BA21-4CF7-ABE0-4603E5FA84FF}">
  <sheetPr codeName="Feuil6"/>
  <dimension ref="A1:P68"/>
  <sheetViews>
    <sheetView zoomScale="83" workbookViewId="0">
      <selection activeCell="E25" sqref="E25"/>
    </sheetView>
  </sheetViews>
  <sheetFormatPr baseColWidth="10" defaultColWidth="11.44140625" defaultRowHeight="14.4" x14ac:dyDescent="0.3"/>
  <cols>
    <col min="1" max="1" width="23.6640625" customWidth="1"/>
    <col min="2" max="2" width="12.44140625" customWidth="1"/>
    <col min="3" max="3" width="9.44140625" customWidth="1"/>
    <col min="4" max="4" width="14.6640625" customWidth="1"/>
    <col min="8" max="8" width="25.44140625" bestFit="1" customWidth="1"/>
    <col min="10" max="10" width="23.6640625" bestFit="1" customWidth="1"/>
  </cols>
  <sheetData>
    <row r="1" spans="1:10" x14ac:dyDescent="0.3">
      <c r="A1" s="2" t="s">
        <v>349</v>
      </c>
    </row>
    <row r="3" spans="1:10" ht="15.6" x14ac:dyDescent="0.3">
      <c r="H3" s="28" t="s">
        <v>27</v>
      </c>
      <c r="I3" s="6"/>
    </row>
    <row r="4" spans="1:10" x14ac:dyDescent="0.3">
      <c r="A4" s="76" t="s">
        <v>186</v>
      </c>
      <c r="H4" s="21" t="s">
        <v>282</v>
      </c>
      <c r="I4" s="21">
        <v>0.89</v>
      </c>
    </row>
    <row r="5" spans="1:10" x14ac:dyDescent="0.3">
      <c r="A5" s="24" t="s">
        <v>350</v>
      </c>
      <c r="H5" s="17" t="s">
        <v>284</v>
      </c>
      <c r="I5" s="17">
        <f>saturation!E9/84</f>
        <v>1.3091635428571429</v>
      </c>
      <c r="J5" s="6"/>
    </row>
    <row r="6" spans="1:10" x14ac:dyDescent="0.3">
      <c r="B6" s="3"/>
      <c r="C6" s="3"/>
      <c r="H6" s="17" t="s">
        <v>270</v>
      </c>
      <c r="I6" s="13">
        <v>3.9300000000000003E-11</v>
      </c>
      <c r="J6" s="6"/>
    </row>
    <row r="7" spans="1:10" x14ac:dyDescent="0.3">
      <c r="A7" s="76" t="s">
        <v>198</v>
      </c>
      <c r="B7" s="20" t="s">
        <v>69</v>
      </c>
      <c r="C7" s="20" t="s">
        <v>199</v>
      </c>
      <c r="D7" s="20" t="s">
        <v>200</v>
      </c>
      <c r="H7" s="21" t="s">
        <v>194</v>
      </c>
      <c r="I7" s="21">
        <v>51</v>
      </c>
      <c r="J7" s="6"/>
    </row>
    <row r="8" spans="1:10" x14ac:dyDescent="0.3">
      <c r="A8" t="s">
        <v>103</v>
      </c>
      <c r="B8" s="14">
        <f>I7</f>
        <v>51</v>
      </c>
      <c r="C8" s="3"/>
      <c r="H8" s="21" t="s">
        <v>285</v>
      </c>
      <c r="I8" s="21">
        <v>55</v>
      </c>
      <c r="J8" s="6"/>
    </row>
    <row r="9" spans="1:10" x14ac:dyDescent="0.3">
      <c r="A9" t="s">
        <v>48</v>
      </c>
      <c r="B9" s="82">
        <f>I4*B8/1000*84</f>
        <v>3.8127599999999999</v>
      </c>
      <c r="C9" s="14">
        <f>I4/OMD!B3*84</f>
        <v>0.89</v>
      </c>
      <c r="D9" s="72">
        <v>0.98099999999999998</v>
      </c>
      <c r="H9" s="21" t="s">
        <v>31</v>
      </c>
      <c r="I9" s="21">
        <v>0</v>
      </c>
    </row>
    <row r="10" spans="1:10" x14ac:dyDescent="0.3">
      <c r="A10" t="s">
        <v>286</v>
      </c>
      <c r="B10" s="82">
        <f>B8*0.5*ABSO!C32/1000*I9</f>
        <v>0</v>
      </c>
      <c r="C10" s="3">
        <f>0.5*I9</f>
        <v>0</v>
      </c>
      <c r="D10" s="73">
        <v>0.99199999999999999</v>
      </c>
      <c r="H10" s="99" t="s">
        <v>39</v>
      </c>
      <c r="I10" s="99">
        <f>ABS(1-I9)</f>
        <v>1</v>
      </c>
    </row>
    <row r="11" spans="1:10" x14ac:dyDescent="0.3">
      <c r="A11" t="s">
        <v>202</v>
      </c>
      <c r="B11" s="82">
        <f>B8*0.3*ABSO!C33/1000*I10</f>
        <v>1.3631229</v>
      </c>
      <c r="C11" s="3">
        <f>0.3*I10</f>
        <v>0.3</v>
      </c>
      <c r="D11" s="79">
        <v>0.84881249999999997</v>
      </c>
      <c r="H11" s="21" t="s">
        <v>288</v>
      </c>
      <c r="I11" s="158">
        <v>30</v>
      </c>
    </row>
    <row r="12" spans="1:10" x14ac:dyDescent="0.3">
      <c r="A12" t="s">
        <v>351</v>
      </c>
      <c r="B12" s="14">
        <f>I8</f>
        <v>55</v>
      </c>
      <c r="C12" s="3"/>
      <c r="D12" s="56" cm="1">
        <f t="array" ref="D12">_xlfn.IFS($I$9=1,D9*D10,$I$10=1,D9*D11)</f>
        <v>0.83268506249999996</v>
      </c>
      <c r="E12" s="3"/>
      <c r="F12" s="3"/>
      <c r="G12" s="3"/>
      <c r="H12" s="21" t="s">
        <v>290</v>
      </c>
      <c r="I12" s="158">
        <v>29.39</v>
      </c>
    </row>
    <row r="13" spans="1:10" x14ac:dyDescent="0.3">
      <c r="A13" t="s">
        <v>352</v>
      </c>
      <c r="B13" s="3">
        <f>I11</f>
        <v>30</v>
      </c>
      <c r="C13" s="3"/>
      <c r="D13" s="3"/>
      <c r="E13" s="3"/>
      <c r="F13" s="3"/>
      <c r="G13" s="3"/>
      <c r="H13" s="3"/>
      <c r="I13" s="3"/>
    </row>
    <row r="14" spans="1:10" x14ac:dyDescent="0.3">
      <c r="B14" s="3"/>
      <c r="C14" s="3"/>
      <c r="D14" s="3"/>
      <c r="E14" s="3"/>
      <c r="F14" s="3"/>
      <c r="G14" s="3"/>
      <c r="H14" s="3"/>
      <c r="I14" s="3"/>
    </row>
    <row r="15" spans="1:10" x14ac:dyDescent="0.3">
      <c r="A15" s="76" t="s">
        <v>205</v>
      </c>
      <c r="B15" s="20" t="s">
        <v>145</v>
      </c>
      <c r="C15" s="3"/>
      <c r="D15" s="3"/>
      <c r="E15" s="3"/>
      <c r="F15" s="3"/>
      <c r="G15" s="3"/>
      <c r="H15" s="3"/>
      <c r="I15" s="3"/>
    </row>
    <row r="16" spans="1:10" ht="15.6" x14ac:dyDescent="0.3">
      <c r="A16" t="s">
        <v>207</v>
      </c>
      <c r="B16" s="30">
        <f>I4*84</f>
        <v>74.760000000000005</v>
      </c>
      <c r="C16" s="3"/>
      <c r="D16" s="3"/>
      <c r="E16" s="3"/>
      <c r="F16" s="3"/>
      <c r="G16" s="3"/>
      <c r="H16" s="28" t="s">
        <v>62</v>
      </c>
      <c r="I16" s="6"/>
      <c r="J16" s="6"/>
    </row>
    <row r="17" spans="1:16" x14ac:dyDescent="0.3">
      <c r="A17" t="s">
        <v>208</v>
      </c>
      <c r="B17" s="32">
        <f>I5*84</f>
        <v>109.9697376</v>
      </c>
      <c r="C17" s="3"/>
      <c r="D17" s="3"/>
      <c r="E17" s="3"/>
      <c r="F17" s="3"/>
      <c r="G17" s="3"/>
      <c r="H17" s="7" t="s">
        <v>20</v>
      </c>
      <c r="I17" s="7" t="s">
        <v>67</v>
      </c>
      <c r="J17" s="7" t="s">
        <v>68</v>
      </c>
    </row>
    <row r="18" spans="1:16" x14ac:dyDescent="0.3">
      <c r="A18" t="s">
        <v>353</v>
      </c>
      <c r="B18">
        <f>I12</f>
        <v>29.39</v>
      </c>
      <c r="D18" s="3"/>
      <c r="E18" s="3"/>
      <c r="F18" s="3"/>
      <c r="G18" s="3"/>
      <c r="J18" s="3" t="s">
        <v>354</v>
      </c>
      <c r="K18" s="27">
        <f>B26</f>
        <v>38.695166310816042</v>
      </c>
      <c r="L18" s="3"/>
      <c r="M18" s="3"/>
    </row>
    <row r="19" spans="1:16" x14ac:dyDescent="0.3">
      <c r="A19" t="s">
        <v>355</v>
      </c>
      <c r="B19" s="118">
        <f>(1-I4/I5)*I8*(I9*ABSO!E30+I10*ABSO!F30)</f>
        <v>16.304833689183958</v>
      </c>
      <c r="J19" s="33" t="s">
        <v>296</v>
      </c>
      <c r="K19" s="27"/>
      <c r="L19" s="3"/>
      <c r="M19" s="3"/>
    </row>
    <row r="20" spans="1:16" x14ac:dyDescent="0.3">
      <c r="J20" s="3" t="s">
        <v>297</v>
      </c>
      <c r="K20" s="27">
        <f>B30</f>
        <v>16.304833689183958</v>
      </c>
      <c r="L20" s="3"/>
      <c r="M20" s="14"/>
    </row>
    <row r="21" spans="1:16" x14ac:dyDescent="0.3">
      <c r="B21" s="20" t="s">
        <v>69</v>
      </c>
      <c r="C21" s="20" t="s">
        <v>199</v>
      </c>
      <c r="D21" s="20" t="s">
        <v>212</v>
      </c>
      <c r="I21" s="1" t="s">
        <v>75</v>
      </c>
      <c r="J21" s="33" t="s">
        <v>206</v>
      </c>
      <c r="K21" s="27"/>
      <c r="L21" s="3"/>
      <c r="M21" s="3"/>
    </row>
    <row r="22" spans="1:16" x14ac:dyDescent="0.3">
      <c r="A22" t="s">
        <v>214</v>
      </c>
      <c r="B22" s="14">
        <f>B8-B19</f>
        <v>34.695166310816042</v>
      </c>
      <c r="J22" s="3" t="s">
        <v>299</v>
      </c>
      <c r="K22" s="27">
        <f>I8</f>
        <v>55</v>
      </c>
      <c r="L22" s="3"/>
      <c r="M22" s="3"/>
    </row>
    <row r="23" spans="1:16" x14ac:dyDescent="0.3">
      <c r="A23" t="s">
        <v>208</v>
      </c>
      <c r="B23" s="27">
        <f>B17/1000*B22</f>
        <v>3.8154183351888005</v>
      </c>
      <c r="C23" s="6">
        <f>B17/OMD!B3</f>
        <v>1.3091635428571429</v>
      </c>
      <c r="D23" s="78">
        <v>0.96199999999999997</v>
      </c>
      <c r="J23" s="3" t="s">
        <v>356</v>
      </c>
      <c r="K23" s="26">
        <f>B39</f>
        <v>170.37632052354311</v>
      </c>
      <c r="L23" s="14">
        <f>B39/Global!$B$8*10000</f>
        <v>38.89870331587742</v>
      </c>
      <c r="M23" t="s">
        <v>357</v>
      </c>
      <c r="N23" s="6"/>
    </row>
    <row r="24" spans="1:16" x14ac:dyDescent="0.3">
      <c r="A24" t="s">
        <v>286</v>
      </c>
      <c r="B24" s="27">
        <f>B10</f>
        <v>0</v>
      </c>
      <c r="C24" s="6">
        <f>C10*B8/B22</f>
        <v>0</v>
      </c>
      <c r="D24" s="73">
        <v>0.99199999999999999</v>
      </c>
      <c r="J24" s="3" t="s">
        <v>358</v>
      </c>
      <c r="K24" s="27">
        <f>E51/1000</f>
        <v>38.591009636488188</v>
      </c>
      <c r="L24" s="3"/>
      <c r="M24" s="3"/>
    </row>
    <row r="25" spans="1:16" x14ac:dyDescent="0.3">
      <c r="A25" t="s">
        <v>202</v>
      </c>
      <c r="B25" s="14">
        <f>B11</f>
        <v>1.3631229</v>
      </c>
      <c r="C25" s="6">
        <f>C11*B8/B22*I10</f>
        <v>0.44098361895530969</v>
      </c>
      <c r="D25" s="74">
        <v>0.996</v>
      </c>
    </row>
    <row r="26" spans="1:16" x14ac:dyDescent="0.3">
      <c r="A26" t="s">
        <v>218</v>
      </c>
      <c r="B26" s="14">
        <f>I8-B19</f>
        <v>38.695166310816042</v>
      </c>
      <c r="C26" s="6"/>
      <c r="D26" s="56" cm="1">
        <f t="array" ref="D26">_xlfn.IFS($I$9=1,D23*D24,$I$10=1,D23*D25)</f>
        <v>0.958152</v>
      </c>
    </row>
    <row r="29" spans="1:16" x14ac:dyDescent="0.3">
      <c r="A29" s="76" t="s">
        <v>226</v>
      </c>
      <c r="B29" s="20" t="s">
        <v>69</v>
      </c>
      <c r="J29" s="126"/>
      <c r="K29" s="126"/>
      <c r="L29" s="126"/>
      <c r="M29" s="126"/>
      <c r="N29" s="126"/>
      <c r="O29" s="126"/>
      <c r="P29" s="126"/>
    </row>
    <row r="30" spans="1:16" x14ac:dyDescent="0.3">
      <c r="A30" t="s">
        <v>359</v>
      </c>
      <c r="B30" s="6">
        <f>B19</f>
        <v>16.304833689183958</v>
      </c>
      <c r="J30" s="126" t="s">
        <v>360</v>
      </c>
      <c r="K30" s="130">
        <v>25</v>
      </c>
      <c r="L30" s="131">
        <v>30</v>
      </c>
      <c r="M30" s="126">
        <v>35</v>
      </c>
      <c r="N30" s="126">
        <v>40</v>
      </c>
      <c r="O30" s="126"/>
      <c r="P30" s="126"/>
    </row>
    <row r="31" spans="1:16" x14ac:dyDescent="0.3">
      <c r="A31" t="s">
        <v>361</v>
      </c>
      <c r="B31" s="6">
        <v>37.57</v>
      </c>
      <c r="J31" s="130" t="s">
        <v>362</v>
      </c>
      <c r="K31" s="131">
        <v>24.96</v>
      </c>
      <c r="L31" s="126">
        <v>29.64</v>
      </c>
      <c r="M31" s="126">
        <v>33.67</v>
      </c>
      <c r="N31" s="126">
        <v>37.82</v>
      </c>
      <c r="O31" s="132">
        <f>N31/N35</f>
        <v>1.0085333333333333</v>
      </c>
      <c r="P31" s="126"/>
    </row>
    <row r="33" spans="1:14" x14ac:dyDescent="0.3">
      <c r="A33" t="s">
        <v>227</v>
      </c>
      <c r="B33" s="30">
        <f>I6</f>
        <v>3.9300000000000003E-11</v>
      </c>
      <c r="J33" t="s">
        <v>363</v>
      </c>
    </row>
    <row r="34" spans="1:14" x14ac:dyDescent="0.3">
      <c r="A34" t="s">
        <v>364</v>
      </c>
      <c r="B34" s="25">
        <f>EXP(23.1964-(3816.44/(-46.13+D34)))</f>
        <v>4183.5835022748342</v>
      </c>
      <c r="C34" s="138" t="s">
        <v>288</v>
      </c>
      <c r="D34" s="154">
        <f>B13+273</f>
        <v>303</v>
      </c>
      <c r="E34" t="s">
        <v>233</v>
      </c>
      <c r="F34" s="25">
        <f>(D12*B34)-B36</f>
        <v>483.60749006568903</v>
      </c>
      <c r="J34" s="133" t="s">
        <v>365</v>
      </c>
      <c r="K34" s="3">
        <v>25</v>
      </c>
      <c r="L34" s="27">
        <v>30</v>
      </c>
      <c r="M34">
        <v>35</v>
      </c>
      <c r="N34">
        <v>40</v>
      </c>
    </row>
    <row r="35" spans="1:14" x14ac:dyDescent="0.3">
      <c r="A35" t="s">
        <v>310</v>
      </c>
      <c r="B35" s="25">
        <f>EXP(23.1964-(3816.44/(-46.13+D35)))</f>
        <v>4038.2099613024661</v>
      </c>
      <c r="C35" s="138" t="s">
        <v>290</v>
      </c>
      <c r="D35" s="138">
        <f>B18+273</f>
        <v>302.39</v>
      </c>
      <c r="E35" t="s">
        <v>235</v>
      </c>
      <c r="F35" s="25">
        <f>(D26*B35)-B36</f>
        <v>869.21895084188054</v>
      </c>
      <c r="J35" s="133" t="s">
        <v>290</v>
      </c>
      <c r="K35" s="6">
        <f t="shared" ref="K35:L35" si="0">K31/$O$31</f>
        <v>24.748810153358015</v>
      </c>
      <c r="L35" s="6">
        <f t="shared" si="0"/>
        <v>29.389212057112641</v>
      </c>
      <c r="M35" s="6">
        <f>M31/$O$31</f>
        <v>33.385113696456905</v>
      </c>
      <c r="N35" s="6">
        <v>37.5</v>
      </c>
    </row>
    <row r="36" spans="1:14" x14ac:dyDescent="0.3">
      <c r="A36" t="s">
        <v>366</v>
      </c>
      <c r="B36">
        <f>0.03*10^5</f>
        <v>3000</v>
      </c>
      <c r="E36" t="s">
        <v>367</v>
      </c>
      <c r="F36" s="25">
        <f>(F34+F35)/2</f>
        <v>676.41322045378479</v>
      </c>
      <c r="J36" s="130" t="s">
        <v>368</v>
      </c>
      <c r="K36" s="134">
        <v>4.5E-11</v>
      </c>
      <c r="L36" s="134">
        <v>4.6000000000000003E-11</v>
      </c>
      <c r="M36" s="134">
        <v>5.0000000000000002E-11</v>
      </c>
      <c r="N36" s="134">
        <v>4.8000000000000002E-11</v>
      </c>
    </row>
    <row r="37" spans="1:14" x14ac:dyDescent="0.3">
      <c r="A37" t="s">
        <v>232</v>
      </c>
      <c r="B37" s="25">
        <f>F36</f>
        <v>676.41322045378479</v>
      </c>
      <c r="C37" s="23">
        <f>((B34*D12-B36)-(B35*D26-B36))/LN((B34*D12-B36)/(B35*D26-B36))</f>
        <v>657.67927255236668</v>
      </c>
      <c r="E37" s="142"/>
      <c r="J37" s="133" t="s">
        <v>307</v>
      </c>
      <c r="K37" s="13">
        <f>K36*omd_data!$C$11</f>
        <v>3.8480672268907563E-11</v>
      </c>
      <c r="L37" s="13">
        <f>L36*omd_data!$C$11</f>
        <v>3.9335798319327732E-11</v>
      </c>
      <c r="M37" s="13">
        <f>M36*omd_data!$C$11</f>
        <v>4.2756302521008408E-11</v>
      </c>
      <c r="N37" s="13">
        <f>N36*omd_data!$C$11</f>
        <v>4.104605042016807E-11</v>
      </c>
    </row>
    <row r="38" spans="1:14" x14ac:dyDescent="0.3">
      <c r="A38" t="s">
        <v>234</v>
      </c>
      <c r="B38" s="13">
        <f>B33*B37</f>
        <v>2.6583039563833744E-8</v>
      </c>
      <c r="D38" s="138"/>
      <c r="E38" s="139"/>
    </row>
    <row r="39" spans="1:14" x14ac:dyDescent="0.3">
      <c r="A39" t="s">
        <v>236</v>
      </c>
      <c r="B39" s="26">
        <f>B19/(B38*3600*1000)</f>
        <v>170.37632052354311</v>
      </c>
      <c r="D39" s="138"/>
      <c r="E39" s="139"/>
    </row>
    <row r="45" spans="1:14" x14ac:dyDescent="0.3">
      <c r="A45" s="1" t="s">
        <v>123</v>
      </c>
      <c r="D45" s="8" t="s">
        <v>124</v>
      </c>
      <c r="E45" s="35" t="s">
        <v>369</v>
      </c>
      <c r="F45" s="20" t="s">
        <v>315</v>
      </c>
    </row>
    <row r="46" spans="1:14" x14ac:dyDescent="0.3">
      <c r="A46" t="s">
        <v>370</v>
      </c>
      <c r="D46" s="6">
        <v>80</v>
      </c>
      <c r="E46" s="14">
        <f>D46*3600/1000</f>
        <v>288</v>
      </c>
      <c r="F46" s="6"/>
    </row>
    <row r="47" spans="1:14" x14ac:dyDescent="0.3">
      <c r="A47" t="s">
        <v>371</v>
      </c>
      <c r="B47" s="3"/>
      <c r="C47" s="3"/>
      <c r="D47" s="25">
        <f>B8*4.2*(B13-25)/3600*1000</f>
        <v>297.5</v>
      </c>
      <c r="E47" s="27">
        <f t="shared" ref="E47:E49" si="1">D47*3600/1000</f>
        <v>1071</v>
      </c>
      <c r="F47" s="25">
        <f>E47*Global!B13</f>
        <v>1338.75</v>
      </c>
    </row>
    <row r="48" spans="1:14" x14ac:dyDescent="0.3">
      <c r="A48" t="s">
        <v>372</v>
      </c>
      <c r="B48" s="3"/>
      <c r="C48" s="3"/>
      <c r="D48" s="81">
        <f>2257*1000*B30/3600</f>
        <v>10222.224899024497</v>
      </c>
      <c r="E48" s="27">
        <f>D48*3600/1000</f>
        <v>36800.00963648819</v>
      </c>
      <c r="F48" s="25">
        <f>E48*Global!B13</f>
        <v>46000.012045610238</v>
      </c>
    </row>
    <row r="49" spans="1:6" x14ac:dyDescent="0.3">
      <c r="A49" t="s">
        <v>373</v>
      </c>
      <c r="B49" s="3"/>
      <c r="C49" s="3"/>
      <c r="D49" s="34">
        <v>80</v>
      </c>
      <c r="E49" s="14">
        <f t="shared" si="1"/>
        <v>288</v>
      </c>
    </row>
    <row r="50" spans="1:6" x14ac:dyDescent="0.3">
      <c r="A50" t="s">
        <v>374</v>
      </c>
      <c r="B50" s="3"/>
      <c r="D50">
        <v>40</v>
      </c>
      <c r="E50" s="14">
        <f>D50*3600/1000</f>
        <v>144</v>
      </c>
    </row>
    <row r="51" spans="1:6" x14ac:dyDescent="0.3">
      <c r="E51" s="26">
        <f>SUM(E46:E50)</f>
        <v>38591.00963648819</v>
      </c>
      <c r="F51" s="25" cm="1">
        <f t="array" ref="F51">SUM(E46+F47:F48,E49,E50)</f>
        <v>48346.762045610238</v>
      </c>
    </row>
    <row r="54" spans="1:6" x14ac:dyDescent="0.3">
      <c r="A54" t="s">
        <v>375</v>
      </c>
      <c r="D54" s="11">
        <f>B19/(1000*3600)*B36</f>
        <v>1.3587361407653299E-2</v>
      </c>
      <c r="E54" s="11">
        <f>D54*3600/1000</f>
        <v>4.8914501067551873E-2</v>
      </c>
    </row>
    <row r="68" spans="9:9" x14ac:dyDescent="0.3">
      <c r="I68" t="s">
        <v>376</v>
      </c>
    </row>
  </sheetData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12</vt:i4>
      </vt:variant>
    </vt:vector>
  </HeadingPairs>
  <TitlesOfParts>
    <vt:vector size="12" baseType="lpstr">
      <vt:lpstr>Global</vt:lpstr>
      <vt:lpstr>saturation</vt:lpstr>
      <vt:lpstr>ABSO</vt:lpstr>
      <vt:lpstr>abso_data</vt:lpstr>
      <vt:lpstr>OMD</vt:lpstr>
      <vt:lpstr>omd_data</vt:lpstr>
      <vt:lpstr>DCMD</vt:lpstr>
      <vt:lpstr>dcmd_data</vt:lpstr>
      <vt:lpstr>VMD</vt:lpstr>
      <vt:lpstr>vmd_data</vt:lpstr>
      <vt:lpstr>POST</vt:lpstr>
      <vt:lpstr>Driving force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Béatrice Desclée</dc:creator>
  <cp:keywords/>
  <dc:description/>
  <cp:lastModifiedBy>baudo</cp:lastModifiedBy>
  <cp:revision/>
  <dcterms:created xsi:type="dcterms:W3CDTF">2015-06-05T18:19:34Z</dcterms:created>
  <dcterms:modified xsi:type="dcterms:W3CDTF">2021-08-22T10:11:55Z</dcterms:modified>
  <cp:category/>
  <cp:contentStatus/>
</cp:coreProperties>
</file>