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jerome/Desktop/Lambda/"/>
    </mc:Choice>
  </mc:AlternateContent>
  <bookViews>
    <workbookView xWindow="0" yWindow="460" windowWidth="25600" windowHeight="14260" tabRatio="500"/>
  </bookViews>
  <sheets>
    <sheet name="Sheet1" sheetId="1" r:id="rId1"/>
    <sheet name="Sheet2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" i="1" l="1"/>
  <c r="D44" i="1"/>
  <c r="L14" i="1"/>
  <c r="J14" i="1"/>
  <c r="K14" i="1"/>
  <c r="M14" i="1"/>
  <c r="H15" i="1"/>
  <c r="L15" i="1"/>
  <c r="J15" i="1"/>
  <c r="K15" i="1"/>
  <c r="M15" i="1"/>
  <c r="H17" i="1"/>
  <c r="L17" i="1"/>
  <c r="G8" i="1"/>
  <c r="J17" i="1"/>
  <c r="K17" i="1"/>
  <c r="M17" i="1"/>
  <c r="H18" i="1"/>
  <c r="L18" i="1"/>
  <c r="G9" i="1"/>
  <c r="J18" i="1"/>
  <c r="K18" i="1"/>
  <c r="M18" i="1"/>
  <c r="M28" i="1"/>
  <c r="S36" i="1"/>
  <c r="R36" i="1"/>
  <c r="D36" i="1"/>
  <c r="D22" i="1"/>
  <c r="H21" i="1"/>
  <c r="L21" i="1"/>
  <c r="J21" i="1"/>
  <c r="K21" i="1"/>
  <c r="N21" i="1"/>
  <c r="D42" i="1"/>
  <c r="H22" i="1"/>
  <c r="L22" i="1"/>
  <c r="J22" i="1"/>
  <c r="K22" i="1"/>
  <c r="N22" i="1"/>
  <c r="H23" i="1"/>
  <c r="L23" i="1"/>
  <c r="J23" i="1"/>
  <c r="K23" i="1"/>
  <c r="N23" i="1"/>
  <c r="L24" i="1"/>
  <c r="J24" i="1"/>
  <c r="K24" i="1"/>
  <c r="N24" i="1"/>
  <c r="H25" i="1"/>
  <c r="L25" i="1"/>
  <c r="J25" i="1"/>
  <c r="K25" i="1"/>
  <c r="N25" i="1"/>
  <c r="H26" i="1"/>
  <c r="L26" i="1"/>
  <c r="K26" i="1"/>
  <c r="N26" i="1"/>
  <c r="H27" i="1"/>
  <c r="L27" i="1"/>
  <c r="J27" i="1"/>
  <c r="K27" i="1"/>
  <c r="N27" i="1"/>
  <c r="N28" i="1"/>
  <c r="S37" i="1"/>
  <c r="R37" i="1"/>
  <c r="S38" i="1"/>
  <c r="R38" i="1"/>
  <c r="S39" i="1"/>
  <c r="R39" i="1"/>
  <c r="T40" i="1"/>
  <c r="X40" i="1"/>
  <c r="H16" i="1"/>
  <c r="L16" i="1"/>
  <c r="G7" i="1"/>
  <c r="J16" i="1"/>
  <c r="K16" i="1"/>
  <c r="O16" i="1"/>
  <c r="O28" i="1"/>
  <c r="V43" i="1"/>
  <c r="W47" i="1"/>
  <c r="V47" i="1"/>
  <c r="W48" i="1"/>
  <c r="V48" i="1"/>
  <c r="X49" i="1"/>
  <c r="K7" i="1"/>
  <c r="K10" i="1"/>
  <c r="R52" i="1"/>
  <c r="V54" i="1"/>
  <c r="V58" i="1"/>
  <c r="X59" i="1"/>
  <c r="H5" i="1"/>
  <c r="I5" i="1"/>
  <c r="H6" i="1"/>
  <c r="I6" i="1"/>
  <c r="H8" i="1"/>
  <c r="I8" i="1"/>
  <c r="H9" i="1"/>
  <c r="I9" i="1"/>
  <c r="I10" i="1"/>
  <c r="R53" i="1"/>
  <c r="R63" i="1"/>
  <c r="T64" i="1"/>
  <c r="X64" i="1"/>
  <c r="AB48" i="1"/>
  <c r="D41" i="1"/>
  <c r="R21" i="1"/>
  <c r="V22" i="1"/>
  <c r="W22" i="1"/>
  <c r="V25" i="1"/>
  <c r="V26" i="1"/>
  <c r="V27" i="1"/>
  <c r="X28" i="1"/>
  <c r="H20" i="1"/>
  <c r="R31" i="1"/>
  <c r="H19" i="1"/>
  <c r="R32" i="1"/>
  <c r="T33" i="1"/>
  <c r="X33" i="1"/>
  <c r="AB50" i="1"/>
  <c r="I14" i="1"/>
  <c r="I15" i="1"/>
  <c r="I16" i="1"/>
  <c r="I17" i="1"/>
  <c r="I18" i="1"/>
  <c r="I19" i="1"/>
  <c r="I20" i="1"/>
  <c r="I21" i="1"/>
  <c r="I22" i="1"/>
  <c r="I23" i="1"/>
  <c r="I25" i="1"/>
  <c r="I26" i="1"/>
  <c r="I27" i="1"/>
  <c r="I24" i="1"/>
  <c r="I28" i="1"/>
  <c r="R15" i="1"/>
  <c r="T15" i="1"/>
  <c r="X15" i="1"/>
  <c r="H28" i="1"/>
  <c r="R18" i="1"/>
  <c r="T18" i="1"/>
  <c r="X18" i="1"/>
  <c r="AB49" i="1"/>
  <c r="R12" i="1"/>
  <c r="T12" i="1"/>
  <c r="X12" i="1"/>
  <c r="AB47" i="1"/>
  <c r="R5" i="1"/>
  <c r="R6" i="1"/>
  <c r="R7" i="1"/>
  <c r="R8" i="1"/>
  <c r="T9" i="1"/>
  <c r="X9" i="1"/>
  <c r="AB46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Z34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O9" i="1"/>
  <c r="AP9" i="1"/>
  <c r="AQ9" i="1"/>
  <c r="AR9" i="1"/>
  <c r="AS9" i="1"/>
  <c r="AT9" i="1"/>
  <c r="AU9" i="1"/>
  <c r="AV9" i="1"/>
  <c r="AW9" i="1"/>
  <c r="AX9" i="1"/>
  <c r="AY9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J19" i="1"/>
  <c r="R22" i="1"/>
  <c r="S22" i="1"/>
  <c r="R25" i="1"/>
  <c r="R26" i="1"/>
  <c r="R43" i="1"/>
  <c r="S47" i="1"/>
  <c r="R48" i="1"/>
  <c r="R47" i="1"/>
  <c r="R54" i="1"/>
  <c r="R58" i="1"/>
  <c r="T59" i="1"/>
  <c r="S48" i="1"/>
  <c r="T49" i="1"/>
  <c r="Q47" i="1"/>
  <c r="Q48" i="1"/>
  <c r="Q36" i="1"/>
  <c r="Q85" i="1"/>
  <c r="X2" i="1"/>
  <c r="T2" i="1"/>
  <c r="H7" i="1"/>
  <c r="J7" i="1"/>
  <c r="J10" i="1"/>
  <c r="D38" i="1"/>
  <c r="D39" i="1"/>
  <c r="R27" i="1"/>
  <c r="T28" i="1"/>
  <c r="G37" i="1"/>
  <c r="G35" i="1"/>
  <c r="G33" i="1"/>
  <c r="G36" i="1"/>
  <c r="G34" i="1"/>
  <c r="N13" i="1"/>
  <c r="N12" i="1"/>
  <c r="M13" i="1"/>
  <c r="M12" i="1"/>
  <c r="D23" i="1"/>
  <c r="Q39" i="1"/>
  <c r="Q38" i="1"/>
  <c r="Q37" i="1"/>
  <c r="L20" i="1"/>
  <c r="L19" i="1"/>
  <c r="J20" i="1"/>
  <c r="K20" i="1"/>
  <c r="K19" i="1"/>
  <c r="R67" i="1"/>
  <c r="R68" i="1"/>
  <c r="S68" i="1"/>
  <c r="R71" i="1"/>
  <c r="R72" i="1"/>
  <c r="R73" i="1"/>
  <c r="R74" i="1"/>
  <c r="T75" i="1"/>
  <c r="S67" i="1"/>
  <c r="R79" i="1"/>
  <c r="R80" i="1"/>
  <c r="R81" i="1"/>
  <c r="R82" i="1"/>
  <c r="T83" i="1"/>
  <c r="T85" i="1"/>
  <c r="X75" i="1"/>
  <c r="X83" i="1"/>
  <c r="X85" i="1"/>
  <c r="AA9" i="1"/>
  <c r="AB51" i="1"/>
</calcChain>
</file>

<file path=xl/comments1.xml><?xml version="1.0" encoding="utf-8"?>
<comments xmlns="http://schemas.openxmlformats.org/spreadsheetml/2006/main">
  <authors>
    <author>Jérôme Navez</author>
  </authors>
  <commentList>
    <comment ref="H24" authorId="0">
      <text>
        <r>
          <rPr>
            <b/>
            <sz val="10"/>
            <color indexed="81"/>
            <rFont val="Calibri"/>
          </rPr>
          <t>Jérôme Navez:</t>
        </r>
        <r>
          <rPr>
            <sz val="10"/>
            <color indexed="81"/>
            <rFont val="Calibri"/>
          </rPr>
          <t xml:space="preserve">
Negligible</t>
        </r>
      </text>
    </comment>
  </commentList>
</comments>
</file>

<file path=xl/sharedStrings.xml><?xml version="1.0" encoding="utf-8"?>
<sst xmlns="http://schemas.openxmlformats.org/spreadsheetml/2006/main" count="191" uniqueCount="155">
  <si>
    <t>Number of families</t>
  </si>
  <si>
    <t>Number of profile pictures</t>
  </si>
  <si>
    <t>Total size of profile pictures (in TB)</t>
  </si>
  <si>
    <t>Cognito User Pool</t>
  </si>
  <si>
    <t>Next 50,000</t>
  </si>
  <si>
    <t>First 50,000</t>
  </si>
  <si>
    <t>Next 900,000</t>
  </si>
  <si>
    <t>Next 9,000,000</t>
  </si>
  <si>
    <t>Greater than 10,000,000</t>
  </si>
  <si>
    <t>API Gateway</t>
  </si>
  <si>
    <t>Number of calls</t>
  </si>
  <si>
    <t>Size of a profile picture (in TB)</t>
  </si>
  <si>
    <t>Size of an image in chat (in TB)</t>
  </si>
  <si>
    <t>TOTAL</t>
  </si>
  <si>
    <t>Number of image per message</t>
  </si>
  <si>
    <t>number of messages created per family per day</t>
  </si>
  <si>
    <t>Number of member per family</t>
  </si>
  <si>
    <t>Get families</t>
  </si>
  <si>
    <t>Get pending families</t>
  </si>
  <si>
    <t>Get chat room</t>
  </si>
  <si>
    <t>Get shopping lists</t>
  </si>
  <si>
    <t>Get loyality cards</t>
  </si>
  <si>
    <t>Get an image</t>
  </si>
  <si>
    <t>Put an image</t>
  </si>
  <si>
    <t>Put a shopping list</t>
  </si>
  <si>
    <t>Put a message</t>
  </si>
  <si>
    <t>Put a product</t>
  </si>
  <si>
    <t>Put a loyality card</t>
  </si>
  <si>
    <t>Number of month to calculate</t>
  </si>
  <si>
    <t>Number of products per shopping list</t>
  </si>
  <si>
    <t>Number of loyality cards per family</t>
  </si>
  <si>
    <t>Update a product</t>
  </si>
  <si>
    <t>Number of time a product is updated</t>
  </si>
  <si>
    <t>Remove a shopping list</t>
  </si>
  <si>
    <t>Check a product</t>
  </si>
  <si>
    <t>(Time - free tier in ms) * price in ms</t>
  </si>
  <si>
    <t>Number of time a product is checked</t>
  </si>
  <si>
    <t>Number of images created per day</t>
  </si>
  <si>
    <t>First 50 TB</t>
  </si>
  <si>
    <t>Next 450 TB</t>
  </si>
  <si>
    <t>Over 500 TB</t>
  </si>
  <si>
    <t>Number of characters per message</t>
  </si>
  <si>
    <t>Number of shopping list per family</t>
  </si>
  <si>
    <t>Run time of the backend (in hours per day)</t>
  </si>
  <si>
    <t>Run time of the backend (in seconds per day)</t>
  </si>
  <si>
    <t>Data transferts</t>
  </si>
  <si>
    <t>First 10 TB</t>
  </si>
  <si>
    <t>Next 40 TB</t>
  </si>
  <si>
    <t>Next 100 TB</t>
  </si>
  <si>
    <t>Next 350 TB</t>
  </si>
  <si>
    <t>Requests per second</t>
  </si>
  <si>
    <t>Queries</t>
  </si>
  <si>
    <t>Calculated Constants</t>
  </si>
  <si>
    <t>Number of shopping list added per family per day per family</t>
  </si>
  <si>
    <t>Number of shopping list removed per family per day per family</t>
  </si>
  <si>
    <t>Number of launching time per user per day (sessions)</t>
  </si>
  <si>
    <t>Minimal provisioned capacity of DynamoDB tables (% of average usage)</t>
  </si>
  <si>
    <t>Hypothesis Constants</t>
  </si>
  <si>
    <t>Out of API Gateway</t>
  </si>
  <si>
    <t>Other calculated metrics</t>
  </si>
  <si>
    <t>Out of DynamoDB</t>
  </si>
  <si>
    <t>Next 9,999 TB</t>
  </si>
  <si>
    <t>Greater than 150 TB</t>
  </si>
  <si>
    <t xml:space="preserve">Up to 1 GB </t>
  </si>
  <si>
    <t>DynamoDB WCU and RCU</t>
  </si>
  <si>
    <t>Family</t>
  </si>
  <si>
    <t>Family-User</t>
  </si>
  <si>
    <t>Average ChatMessages item</t>
  </si>
  <si>
    <t>Average ShoppingList item</t>
  </si>
  <si>
    <t>Average LoyalityCards item</t>
  </si>
  <si>
    <t>Number of families per user</t>
  </si>
  <si>
    <t>First 25GB</t>
  </si>
  <si>
    <t>Over 25 GB</t>
  </si>
  <si>
    <t>Size of all tables (in GB)</t>
  </si>
  <si>
    <t>S3 Requests</t>
  </si>
  <si>
    <t>Get</t>
  </si>
  <si>
    <t>Put requests</t>
  </si>
  <si>
    <t>Price</t>
  </si>
  <si>
    <t>Price per MAU</t>
  </si>
  <si>
    <t>Price per million calls</t>
  </si>
  <si>
    <t>Calls</t>
  </si>
  <si>
    <t>Price per 100ms</t>
  </si>
  <si>
    <t>Price per GB</t>
  </si>
  <si>
    <t>Price per 1000 requests</t>
  </si>
  <si>
    <t>Size of an item
(in Byte)</t>
  </si>
  <si>
    <t>Size of all items
(in GB)</t>
  </si>
  <si>
    <t>Tables</t>
  </si>
  <si>
    <t>Factured time
(in ms)</t>
  </si>
  <si>
    <t>Total time
(in ms)</t>
  </si>
  <si>
    <t>Size of the query
(in KB)</t>
  </si>
  <si>
    <t>sr or sw
(in 1KB blocks)</t>
  </si>
  <si>
    <t>calls performed
per second</t>
  </si>
  <si>
    <t>Size of all items +
index constant (in Byte)</t>
  </si>
  <si>
    <t>Size of all items
that extends (in GB)</t>
  </si>
  <si>
    <t>Number of images in S3</t>
  </si>
  <si>
    <t>Total outdoing data from DynamoDB (in TB and GB)</t>
  </si>
  <si>
    <t>Total outdoing data from API Gateway (in TB and GB)</t>
  </si>
  <si>
    <t>H2</t>
  </si>
  <si>
    <t>H3</t>
  </si>
  <si>
    <t>H4</t>
  </si>
  <si>
    <t>Number of messages scrolled per session in chatroom</t>
  </si>
  <si>
    <t>Ration of user having a profile picture</t>
  </si>
  <si>
    <t>H5</t>
  </si>
  <si>
    <t>H6</t>
  </si>
  <si>
    <t>H13</t>
  </si>
  <si>
    <t>H8, H9</t>
  </si>
  <si>
    <t>Number of messages sent per user per day per family</t>
  </si>
  <si>
    <t>H10</t>
  </si>
  <si>
    <t>H11</t>
  </si>
  <si>
    <t>H14</t>
  </si>
  <si>
    <t>H12</t>
  </si>
  <si>
    <t>H15</t>
  </si>
  <si>
    <t>H16</t>
  </si>
  <si>
    <t>H17</t>
  </si>
  <si>
    <t>H18</t>
  </si>
  <si>
    <t>H19</t>
  </si>
  <si>
    <t>H20</t>
  </si>
  <si>
    <t>H21</t>
  </si>
  <si>
    <t>Number of active users</t>
  </si>
  <si>
    <t>Average execution time</t>
  </si>
  <si>
    <t>Concurrent executions per second</t>
  </si>
  <si>
    <t>Number of topics in FCM</t>
  </si>
  <si>
    <t>The principale values to change are D5 and D6</t>
  </si>
  <si>
    <t>Feel free to change any value in the first green block.</t>
  </si>
  <si>
    <t>Average images size created per month</t>
  </si>
  <si>
    <t>Weighed TOTAL (in TB and GB)</t>
  </si>
  <si>
    <t>Size added
per month</t>
  </si>
  <si>
    <t>Average messages size created per month (in GB)</t>
  </si>
  <si>
    <t>Weighed size of all tables that extends (in GB)</t>
  </si>
  <si>
    <t>RCU in addition needed
for items that extends</t>
  </si>
  <si>
    <t>Price per CU per hour</t>
  </si>
  <si>
    <t>DynamoDB RCU that extends, price</t>
  </si>
  <si>
    <t>DynamoDB RCU that extends, numbers</t>
  </si>
  <si>
    <t>Weighed RCUs</t>
  </si>
  <si>
    <t>S3 Storage, numbers</t>
  </si>
  <si>
    <t>S3 Storage, price</t>
  </si>
  <si>
    <t>DynamoDB storage, numbers</t>
  </si>
  <si>
    <t>Tables that extends, price</t>
  </si>
  <si>
    <t>Tables that doesn't extends, price</t>
  </si>
  <si>
    <t>Lambda - compute time</t>
  </si>
  <si>
    <t>Lambda number of requests</t>
  </si>
  <si>
    <t>Price per request</t>
  </si>
  <si>
    <t>Lambda - # requests</t>
  </si>
  <si>
    <t>Simulations</t>
  </si>
  <si>
    <t>Pessimistic</t>
  </si>
  <si>
    <t>growth per month (in %)</t>
  </si>
  <si>
    <t>Type</t>
  </si>
  <si>
    <t>Number of users (begin of the first month)</t>
  </si>
  <si>
    <t>Service</t>
  </si>
  <si>
    <t>Cost</t>
  </si>
  <si>
    <t>Cognito</t>
  </si>
  <si>
    <t>Lambda</t>
  </si>
  <si>
    <t>S3</t>
  </si>
  <si>
    <t>Data Transfert</t>
  </si>
  <si>
    <t>DynamoDB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</si>
</sst>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6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1"/>
      <name val="Calibri"/>
    </font>
    <font>
      <b/>
      <sz val="10"/>
      <color indexed="81"/>
      <name val="Calibri"/>
    </font>
    <font>
      <sz val="12"/>
      <color rgb="FFFF0000"/>
      <name val="Calibri"/>
      <family val="2"/>
      <scheme val="minor"/>
    </font>
    <font>
      <sz val="12"/>
      <color rgb="FFFF0000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4" fillId="2" borderId="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3" borderId="5" xfId="0" applyFont="1" applyFill="1" applyBorder="1"/>
    <xf numFmtId="0" fontId="4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2" fontId="1" fillId="4" borderId="5" xfId="0" applyNumberFormat="1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6" borderId="8" xfId="0" applyFont="1" applyFill="1" applyBorder="1"/>
    <xf numFmtId="0" fontId="4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4" fillId="2" borderId="11" xfId="0" applyFont="1" applyFill="1" applyBorder="1"/>
    <xf numFmtId="0" fontId="5" fillId="2" borderId="11" xfId="0" applyFont="1" applyFill="1" applyBorder="1"/>
    <xf numFmtId="0" fontId="1" fillId="2" borderId="10" xfId="0" applyFont="1" applyFill="1" applyBorder="1"/>
    <xf numFmtId="0" fontId="4" fillId="6" borderId="1" xfId="0" applyFont="1" applyFill="1" applyBorder="1"/>
    <xf numFmtId="0" fontId="4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0" xfId="0" applyFont="1" applyFill="1" applyBorder="1"/>
    <xf numFmtId="1" fontId="1" fillId="3" borderId="11" xfId="0" applyNumberFormat="1" applyFont="1" applyFill="1" applyBorder="1"/>
    <xf numFmtId="0" fontId="5" fillId="3" borderId="10" xfId="0" applyFont="1" applyFill="1" applyBorder="1"/>
    <xf numFmtId="0" fontId="1" fillId="3" borderId="10" xfId="0" applyFont="1" applyFill="1" applyBorder="1" applyAlignment="1"/>
    <xf numFmtId="0" fontId="1" fillId="3" borderId="12" xfId="0" applyFont="1" applyFill="1" applyBorder="1" applyAlignment="1"/>
    <xf numFmtId="0" fontId="1" fillId="5" borderId="2" xfId="0" applyFont="1" applyFill="1" applyBorder="1"/>
    <xf numFmtId="0" fontId="1" fillId="5" borderId="3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5" fillId="7" borderId="2" xfId="0" applyFont="1" applyFill="1" applyBorder="1"/>
    <xf numFmtId="0" fontId="1" fillId="7" borderId="3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3" borderId="1" xfId="0" applyFont="1" applyFill="1" applyBorder="1"/>
    <xf numFmtId="1" fontId="1" fillId="3" borderId="1" xfId="0" applyNumberFormat="1" applyFont="1" applyFill="1" applyBorder="1"/>
    <xf numFmtId="0" fontId="1" fillId="3" borderId="9" xfId="0" applyFont="1" applyFill="1" applyBorder="1"/>
    <xf numFmtId="0" fontId="1" fillId="2" borderId="6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4" fillId="0" borderId="0" xfId="0" applyFont="1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2" borderId="4" xfId="0" applyFont="1" applyFill="1" applyBorder="1"/>
    <xf numFmtId="1" fontId="1" fillId="2" borderId="1" xfId="0" applyNumberFormat="1" applyFont="1" applyFill="1" applyBorder="1"/>
    <xf numFmtId="0" fontId="4" fillId="2" borderId="12" xfId="0" applyFont="1" applyFill="1" applyBorder="1"/>
    <xf numFmtId="0" fontId="1" fillId="8" borderId="13" xfId="0" applyFont="1" applyFill="1" applyBorder="1"/>
    <xf numFmtId="0" fontId="0" fillId="8" borderId="13" xfId="0" applyFill="1" applyBorder="1"/>
    <xf numFmtId="0" fontId="1" fillId="8" borderId="3" xfId="0" applyFont="1" applyFill="1" applyBorder="1"/>
    <xf numFmtId="0" fontId="1" fillId="8" borderId="4" xfId="0" applyFont="1" applyFill="1" applyBorder="1"/>
    <xf numFmtId="0" fontId="1" fillId="8" borderId="0" xfId="0" applyFont="1" applyFill="1" applyBorder="1"/>
    <xf numFmtId="0" fontId="0" fillId="8" borderId="0" xfId="0" applyFill="1" applyBorder="1"/>
    <xf numFmtId="0" fontId="1" fillId="8" borderId="5" xfId="0" applyFont="1" applyFill="1" applyBorder="1"/>
    <xf numFmtId="164" fontId="1" fillId="8" borderId="4" xfId="0" applyNumberFormat="1" applyFont="1" applyFill="1" applyBorder="1"/>
    <xf numFmtId="0" fontId="0" fillId="8" borderId="4" xfId="0" applyFill="1" applyBorder="1"/>
    <xf numFmtId="0" fontId="1" fillId="8" borderId="6" xfId="0" applyFont="1" applyFill="1" applyBorder="1"/>
    <xf numFmtId="0" fontId="1" fillId="8" borderId="14" xfId="0" applyFont="1" applyFill="1" applyBorder="1"/>
    <xf numFmtId="0" fontId="1" fillId="8" borderId="7" xfId="0" applyFont="1" applyFill="1" applyBorder="1"/>
    <xf numFmtId="0" fontId="4" fillId="8" borderId="2" xfId="0" applyFont="1" applyFill="1" applyBorder="1"/>
    <xf numFmtId="0" fontId="0" fillId="8" borderId="11" xfId="0" applyFill="1" applyBorder="1"/>
    <xf numFmtId="0" fontId="0" fillId="8" borderId="14" xfId="0" applyFill="1" applyBorder="1"/>
    <xf numFmtId="0" fontId="0" fillId="8" borderId="6" xfId="0" applyFill="1" applyBorder="1"/>
    <xf numFmtId="0" fontId="4" fillId="8" borderId="1" xfId="0" applyFont="1" applyFill="1" applyBorder="1"/>
    <xf numFmtId="0" fontId="0" fillId="0" borderId="0" xfId="0" applyFill="1" applyBorder="1"/>
    <xf numFmtId="0" fontId="0" fillId="8" borderId="2" xfId="0" applyFill="1" applyBorder="1"/>
    <xf numFmtId="0" fontId="1" fillId="3" borderId="10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0" fontId="1" fillId="3" borderId="12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98647723382403"/>
          <c:y val="0.0485678800105667"/>
          <c:w val="0.637661759671345"/>
          <c:h val="0.87668582906341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Sheet1!$AA$46:$AA$51</c:f>
              <c:strCache>
                <c:ptCount val="6"/>
                <c:pt idx="0">
                  <c:v>Cognito</c:v>
                </c:pt>
                <c:pt idx="1">
                  <c:v>API Gateway</c:v>
                </c:pt>
                <c:pt idx="2">
                  <c:v>DynamoDB</c:v>
                </c:pt>
                <c:pt idx="3">
                  <c:v>Lambda</c:v>
                </c:pt>
                <c:pt idx="4">
                  <c:v>S3</c:v>
                </c:pt>
                <c:pt idx="5">
                  <c:v>Data Transfert</c:v>
                </c:pt>
              </c:strCache>
            </c:strRef>
          </c:cat>
          <c:val>
            <c:numRef>
              <c:f>Sheet1!$AB$46:$AB$51</c:f>
              <c:numCache>
                <c:formatCode>General</c:formatCode>
                <c:ptCount val="6"/>
                <c:pt idx="0">
                  <c:v>0.0</c:v>
                </c:pt>
                <c:pt idx="1">
                  <c:v>0.3639375</c:v>
                </c:pt>
                <c:pt idx="2">
                  <c:v>0.6552</c:v>
                </c:pt>
                <c:pt idx="3">
                  <c:v>0.0207964285714286</c:v>
                </c:pt>
                <c:pt idx="4">
                  <c:v>0.6172875</c:v>
                </c:pt>
                <c:pt idx="5">
                  <c:v>2.0183976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3710843889079"/>
          <c:y val="0.0141649942959952"/>
          <c:w val="0.25597811161854"/>
          <c:h val="0.9148511810731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601133</xdr:colOff>
      <xdr:row>45</xdr:row>
      <xdr:rowOff>0</xdr:rowOff>
    </xdr:from>
    <xdr:to>
      <xdr:col>35</xdr:col>
      <xdr:colOff>296333</xdr:colOff>
      <xdr:row>61</xdr:row>
      <xdr:rowOff>148166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B1:AZ89"/>
  <sheetViews>
    <sheetView tabSelected="1" topLeftCell="AD1" zoomScale="81" zoomScaleNormal="89" zoomScalePageLayoutView="89" workbookViewId="0">
      <selection activeCell="AG2" sqref="AG2"/>
    </sheetView>
  </sheetViews>
  <sheetFormatPr baseColWidth="10" defaultRowHeight="16" x14ac:dyDescent="0.2"/>
  <cols>
    <col min="1" max="2" width="8.6640625" style="1" customWidth="1"/>
    <col min="3" max="3" width="59.1640625" style="1" customWidth="1"/>
    <col min="4" max="4" width="11.5" style="1" bestFit="1" customWidth="1"/>
    <col min="5" max="5" width="14.6640625" style="1" customWidth="1"/>
    <col min="6" max="6" width="28.33203125" style="1" customWidth="1"/>
    <col min="7" max="7" width="15" style="1" customWidth="1"/>
    <col min="8" max="8" width="20.6640625" style="1" customWidth="1"/>
    <col min="9" max="9" width="14.6640625" style="1" customWidth="1"/>
    <col min="10" max="10" width="17.1640625" style="1" customWidth="1"/>
    <col min="11" max="11" width="14" style="1" customWidth="1"/>
    <col min="12" max="12" width="15.6640625" style="1" customWidth="1"/>
    <col min="13" max="13" width="17.1640625" style="1" customWidth="1"/>
    <col min="14" max="14" width="17.83203125" style="1" customWidth="1"/>
    <col min="15" max="15" width="24.33203125" style="1" customWidth="1"/>
    <col min="16" max="16" width="15.33203125" style="1" customWidth="1"/>
    <col min="17" max="17" width="45.1640625" style="1" customWidth="1"/>
    <col min="18" max="18" width="15.6640625" style="1" customWidth="1"/>
    <col min="19" max="19" width="20.33203125" style="1" customWidth="1"/>
    <col min="20" max="20" width="14.33203125" style="1" customWidth="1"/>
    <col min="21" max="21" width="13" style="1" customWidth="1"/>
    <col min="22" max="22" width="11.83203125" style="1" bestFit="1" customWidth="1"/>
    <col min="23" max="23" width="18" style="1" customWidth="1"/>
    <col min="24" max="24" width="19.33203125" style="1" customWidth="1"/>
    <col min="25" max="26" width="10.83203125" style="1"/>
    <col min="27" max="27" width="40.6640625" style="1" customWidth="1"/>
    <col min="28" max="16384" width="10.83203125" style="1"/>
  </cols>
  <sheetData>
    <row r="1" spans="2:52" x14ac:dyDescent="0.2">
      <c r="C1" s="1" t="s">
        <v>123</v>
      </c>
    </row>
    <row r="2" spans="2:52" x14ac:dyDescent="0.2">
      <c r="C2" s="1" t="s">
        <v>122</v>
      </c>
      <c r="T2" s="2" t="str">
        <f>"During " &amp; D5 &amp; " months"</f>
        <v>During 24 months</v>
      </c>
      <c r="X2" s="2" t="str">
        <f>"For the " &amp; D5 &amp; "th month only"</f>
        <v>For the 24th month only</v>
      </c>
    </row>
    <row r="3" spans="2:52" x14ac:dyDescent="0.2">
      <c r="C3" s="10" t="s">
        <v>57</v>
      </c>
      <c r="D3" s="11"/>
      <c r="F3" s="30" t="s">
        <v>86</v>
      </c>
      <c r="G3" s="77" t="s">
        <v>84</v>
      </c>
      <c r="H3" s="80" t="s">
        <v>92</v>
      </c>
      <c r="I3" s="77" t="s">
        <v>85</v>
      </c>
      <c r="J3" s="77" t="s">
        <v>93</v>
      </c>
      <c r="K3" s="77" t="s">
        <v>126</v>
      </c>
      <c r="Q3" s="2" t="s">
        <v>3</v>
      </c>
      <c r="R3" s="3" t="s">
        <v>77</v>
      </c>
      <c r="S3" s="3" t="s">
        <v>78</v>
      </c>
      <c r="T3" s="4"/>
      <c r="AA3" s="70" t="s">
        <v>143</v>
      </c>
      <c r="AB3" s="58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60"/>
    </row>
    <row r="4" spans="2:52" x14ac:dyDescent="0.2">
      <c r="C4" s="12"/>
      <c r="D4" s="13"/>
      <c r="F4" s="27"/>
      <c r="G4" s="78"/>
      <c r="H4" s="81"/>
      <c r="I4" s="78"/>
      <c r="J4" s="78"/>
      <c r="K4" s="78"/>
      <c r="Q4" s="19" t="s">
        <v>5</v>
      </c>
      <c r="R4" s="19">
        <v>0</v>
      </c>
      <c r="S4" s="19">
        <v>0</v>
      </c>
      <c r="T4" s="6"/>
      <c r="AA4" s="61"/>
      <c r="AB4" s="62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4"/>
    </row>
    <row r="5" spans="2:52" x14ac:dyDescent="0.2">
      <c r="C5" s="33" t="s">
        <v>28</v>
      </c>
      <c r="D5" s="34">
        <v>24</v>
      </c>
      <c r="F5" s="26" t="s">
        <v>65</v>
      </c>
      <c r="G5" s="26">
        <v>40</v>
      </c>
      <c r="H5" s="26">
        <f>(G5+100)*D36</f>
        <v>5250</v>
      </c>
      <c r="I5" s="9">
        <f>H5/(1000*1000*1000)</f>
        <v>5.2499999999999997E-6</v>
      </c>
      <c r="J5" s="26"/>
      <c r="K5" s="26"/>
      <c r="Q5" s="19" t="s">
        <v>4</v>
      </c>
      <c r="R5" s="19">
        <f>IF(D6-50000&gt;0,MIN(50000,(D6-50000))*S5,0)*D5</f>
        <v>0</v>
      </c>
      <c r="S5" s="19">
        <v>5.4999999999999997E-3</v>
      </c>
      <c r="T5" s="6"/>
      <c r="AA5" s="61" t="s">
        <v>146</v>
      </c>
      <c r="AB5" s="62" t="s">
        <v>144</v>
      </c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4"/>
    </row>
    <row r="6" spans="2:52" x14ac:dyDescent="0.2">
      <c r="C6" s="35" t="s">
        <v>118</v>
      </c>
      <c r="D6" s="36">
        <v>100</v>
      </c>
      <c r="F6" s="26" t="s">
        <v>66</v>
      </c>
      <c r="G6" s="26">
        <v>70</v>
      </c>
      <c r="H6" s="26">
        <f>(G6+100)*D6*D8</f>
        <v>25500</v>
      </c>
      <c r="I6" s="9">
        <f t="shared" ref="I6:I9" si="0">H6/(1000*1000*1000)</f>
        <v>2.55E-5</v>
      </c>
      <c r="J6" s="26"/>
      <c r="K6" s="26"/>
      <c r="Q6" s="19" t="s">
        <v>6</v>
      </c>
      <c r="R6" s="19">
        <f>IF(D6-50000&gt;0,MIN(900000,MAX(0,D6-100000))*S6,0)*D5</f>
        <v>0</v>
      </c>
      <c r="S6" s="19">
        <v>4.5999999999999999E-3</v>
      </c>
      <c r="T6" s="6"/>
      <c r="AA6" s="61" t="s">
        <v>145</v>
      </c>
      <c r="AB6" s="62">
        <v>0</v>
      </c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4"/>
    </row>
    <row r="7" spans="2:52" x14ac:dyDescent="0.2">
      <c r="B7" s="1" t="s">
        <v>99</v>
      </c>
      <c r="C7" s="12" t="s">
        <v>16</v>
      </c>
      <c r="D7" s="13">
        <v>4</v>
      </c>
      <c r="F7" s="26" t="s">
        <v>67</v>
      </c>
      <c r="G7" s="26">
        <f>(30+((80+D19)*D42*30*D5)/2)</f>
        <v>792030</v>
      </c>
      <c r="H7" s="26">
        <f>(G7+100)*D36</f>
        <v>29704875</v>
      </c>
      <c r="I7" s="9"/>
      <c r="J7" s="26">
        <f>H7/(1000*1000*1000)</f>
        <v>2.9704874999999999E-2</v>
      </c>
      <c r="K7" s="26">
        <f>(80+D19)*D36*D42*30</f>
        <v>2475000</v>
      </c>
      <c r="Q7" s="19" t="s">
        <v>7</v>
      </c>
      <c r="R7" s="19">
        <f>IF(D6-50000&gt;0,MIN(9000000,MAX(0,D6-1000000))*S7,0)*D5</f>
        <v>0</v>
      </c>
      <c r="S7" s="19">
        <v>3.2499999999999999E-3</v>
      </c>
      <c r="T7" s="6"/>
      <c r="AA7" s="61" t="s">
        <v>147</v>
      </c>
      <c r="AB7" s="62">
        <v>100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4"/>
    </row>
    <row r="8" spans="2:52" x14ac:dyDescent="0.2">
      <c r="B8" s="1" t="s">
        <v>98</v>
      </c>
      <c r="C8" s="12" t="s">
        <v>70</v>
      </c>
      <c r="D8" s="13">
        <v>1.5</v>
      </c>
      <c r="F8" s="26" t="s">
        <v>68</v>
      </c>
      <c r="G8" s="26">
        <f>(80+D24*70)</f>
        <v>1480</v>
      </c>
      <c r="H8" s="26">
        <f>D21*(G8+100)*D36</f>
        <v>296250</v>
      </c>
      <c r="I8" s="9">
        <f t="shared" si="0"/>
        <v>2.9625000000000002E-4</v>
      </c>
      <c r="J8" s="26"/>
      <c r="K8" s="26"/>
      <c r="Q8" s="19" t="s">
        <v>8</v>
      </c>
      <c r="R8" s="19">
        <f>MAX(0,D6-10000000)*S8*30*D5</f>
        <v>0</v>
      </c>
      <c r="S8" s="19">
        <v>2.5000000000000001E-3</v>
      </c>
      <c r="T8" s="6"/>
      <c r="AA8" s="61"/>
      <c r="AB8" s="62">
        <v>1</v>
      </c>
      <c r="AC8" s="62">
        <f>AB8+1</f>
        <v>2</v>
      </c>
      <c r="AD8" s="62">
        <f t="shared" ref="AD8:AY8" si="1">AC8+1</f>
        <v>3</v>
      </c>
      <c r="AE8" s="62">
        <f t="shared" si="1"/>
        <v>4</v>
      </c>
      <c r="AF8" s="62">
        <f t="shared" si="1"/>
        <v>5</v>
      </c>
      <c r="AG8" s="62">
        <f t="shared" si="1"/>
        <v>6</v>
      </c>
      <c r="AH8" s="62">
        <f t="shared" si="1"/>
        <v>7</v>
      </c>
      <c r="AI8" s="62">
        <f t="shared" si="1"/>
        <v>8</v>
      </c>
      <c r="AJ8" s="62">
        <f t="shared" si="1"/>
        <v>9</v>
      </c>
      <c r="AK8" s="62">
        <f t="shared" si="1"/>
        <v>10</v>
      </c>
      <c r="AL8" s="62">
        <f t="shared" si="1"/>
        <v>11</v>
      </c>
      <c r="AM8" s="62">
        <f t="shared" si="1"/>
        <v>12</v>
      </c>
      <c r="AN8" s="62">
        <f t="shared" si="1"/>
        <v>13</v>
      </c>
      <c r="AO8" s="62">
        <f t="shared" si="1"/>
        <v>14</v>
      </c>
      <c r="AP8" s="62">
        <f t="shared" si="1"/>
        <v>15</v>
      </c>
      <c r="AQ8" s="62">
        <f t="shared" si="1"/>
        <v>16</v>
      </c>
      <c r="AR8" s="62">
        <f t="shared" si="1"/>
        <v>17</v>
      </c>
      <c r="AS8" s="62">
        <f t="shared" si="1"/>
        <v>18</v>
      </c>
      <c r="AT8" s="62">
        <f t="shared" si="1"/>
        <v>19</v>
      </c>
      <c r="AU8" s="62">
        <f t="shared" si="1"/>
        <v>20</v>
      </c>
      <c r="AV8" s="62">
        <f t="shared" si="1"/>
        <v>21</v>
      </c>
      <c r="AW8" s="62">
        <f t="shared" si="1"/>
        <v>22</v>
      </c>
      <c r="AX8" s="62">
        <f t="shared" si="1"/>
        <v>23</v>
      </c>
      <c r="AY8" s="62">
        <f t="shared" si="1"/>
        <v>24</v>
      </c>
      <c r="AZ8" s="64"/>
    </row>
    <row r="9" spans="2:52" x14ac:dyDescent="0.2">
      <c r="C9" s="12"/>
      <c r="D9" s="13"/>
      <c r="F9" s="26" t="s">
        <v>69</v>
      </c>
      <c r="G9" s="26">
        <f>(30+D28*180)</f>
        <v>1830</v>
      </c>
      <c r="H9" s="26">
        <f>(G9+100)*D36</f>
        <v>72375</v>
      </c>
      <c r="I9" s="9">
        <f t="shared" si="0"/>
        <v>7.2374999999999997E-5</v>
      </c>
      <c r="J9" s="26"/>
      <c r="K9" s="26"/>
      <c r="Q9" s="20" t="s">
        <v>13</v>
      </c>
      <c r="R9" s="20"/>
      <c r="S9" s="20"/>
      <c r="T9" s="8">
        <f>SUM(R4:R8)</f>
        <v>0</v>
      </c>
      <c r="X9" s="3">
        <f>T9/D5</f>
        <v>0</v>
      </c>
      <c r="AA9" s="65">
        <f>X85</f>
        <v>3.6756190285714281</v>
      </c>
      <c r="AB9" s="72">
        <f>AB7*(1+AB6/100)</f>
        <v>100</v>
      </c>
      <c r="AC9" s="72">
        <f>AB9*(1+AB6/100)</f>
        <v>100</v>
      </c>
      <c r="AD9" s="72">
        <f>AC9*(1+AB6/100)</f>
        <v>100</v>
      </c>
      <c r="AE9" s="72">
        <f>AD9*(1+AB6/100)</f>
        <v>100</v>
      </c>
      <c r="AF9" s="72">
        <f>AE9*(1+AB6/100)</f>
        <v>100</v>
      </c>
      <c r="AG9" s="72">
        <f>AF9*(1+AB6/100)</f>
        <v>100</v>
      </c>
      <c r="AH9" s="72">
        <f>AG9*(1+AB6/100)</f>
        <v>100</v>
      </c>
      <c r="AI9" s="72">
        <f>AH9*(1+AB6/100)</f>
        <v>100</v>
      </c>
      <c r="AJ9" s="72">
        <f>AI9*(1+AB6/100)</f>
        <v>100</v>
      </c>
      <c r="AK9" s="72">
        <f>AJ9*(1+AB6/100)</f>
        <v>100</v>
      </c>
      <c r="AL9" s="72">
        <f>AK9*(1+AB6/100)</f>
        <v>100</v>
      </c>
      <c r="AM9" s="72">
        <f>AL9*(1+AB6/100)</f>
        <v>100</v>
      </c>
      <c r="AN9" s="72">
        <f>AM9+(AM9-AL9)</f>
        <v>100</v>
      </c>
      <c r="AO9" s="72">
        <f t="shared" ref="AO9:AY9" si="2">AN9+(AN9-AM9)</f>
        <v>100</v>
      </c>
      <c r="AP9" s="72">
        <f t="shared" si="2"/>
        <v>100</v>
      </c>
      <c r="AQ9" s="72">
        <f t="shared" si="2"/>
        <v>100</v>
      </c>
      <c r="AR9" s="72">
        <f t="shared" si="2"/>
        <v>100</v>
      </c>
      <c r="AS9" s="72">
        <f t="shared" si="2"/>
        <v>100</v>
      </c>
      <c r="AT9" s="72">
        <f t="shared" si="2"/>
        <v>100</v>
      </c>
      <c r="AU9" s="72">
        <f t="shared" si="2"/>
        <v>100</v>
      </c>
      <c r="AV9" s="72">
        <f t="shared" si="2"/>
        <v>100</v>
      </c>
      <c r="AW9" s="72">
        <f t="shared" si="2"/>
        <v>100</v>
      </c>
      <c r="AX9" s="72">
        <f t="shared" si="2"/>
        <v>100</v>
      </c>
      <c r="AY9" s="72">
        <f t="shared" si="2"/>
        <v>100</v>
      </c>
      <c r="AZ9" s="64"/>
    </row>
    <row r="10" spans="2:52" x14ac:dyDescent="0.2">
      <c r="B10" s="1" t="s">
        <v>102</v>
      </c>
      <c r="C10" s="12" t="s">
        <v>101</v>
      </c>
      <c r="D10" s="13">
        <v>0.75</v>
      </c>
      <c r="F10" s="43" t="s">
        <v>13</v>
      </c>
      <c r="G10" s="43"/>
      <c r="H10" s="43"/>
      <c r="I10" s="45">
        <f>SUM(I5:I9)</f>
        <v>3.9937500000000004E-4</v>
      </c>
      <c r="J10" s="43">
        <f>SUM(J5:J9)</f>
        <v>2.9704874999999999E-2</v>
      </c>
      <c r="K10" s="43">
        <f>SUM(K5:K9)</f>
        <v>2475000</v>
      </c>
      <c r="T10" s="51"/>
      <c r="AA10" s="71">
        <v>1</v>
      </c>
      <c r="AB10" s="76">
        <f t="dataTable" ref="AB10:AY33" dt2D="1" dtr="1" r1="D6" r2="D5"/>
        <v>1.9065052285714281</v>
      </c>
      <c r="AC10" s="59">
        <v>1.9065052285714281</v>
      </c>
      <c r="AD10" s="59">
        <v>1.9065052285714281</v>
      </c>
      <c r="AE10" s="59">
        <v>1.9065052285714281</v>
      </c>
      <c r="AF10" s="59">
        <v>1.9065052285714281</v>
      </c>
      <c r="AG10" s="59">
        <v>1.9065052285714281</v>
      </c>
      <c r="AH10" s="59">
        <v>1.9065052285714281</v>
      </c>
      <c r="AI10" s="59">
        <v>1.9065052285714281</v>
      </c>
      <c r="AJ10" s="59">
        <v>1.9065052285714281</v>
      </c>
      <c r="AK10" s="59">
        <v>1.9065052285714281</v>
      </c>
      <c r="AL10" s="59">
        <v>1.9065052285714281</v>
      </c>
      <c r="AM10" s="59">
        <v>1.9065052285714281</v>
      </c>
      <c r="AN10" s="58">
        <v>1.9065052285714281</v>
      </c>
      <c r="AO10" s="58">
        <v>1.9065052285714281</v>
      </c>
      <c r="AP10" s="58">
        <v>1.9065052285714281</v>
      </c>
      <c r="AQ10" s="58">
        <v>1.9065052285714281</v>
      </c>
      <c r="AR10" s="58">
        <v>1.9065052285714281</v>
      </c>
      <c r="AS10" s="58">
        <v>1.9065052285714281</v>
      </c>
      <c r="AT10" s="58">
        <v>1.9065052285714281</v>
      </c>
      <c r="AU10" s="58">
        <v>1.9065052285714281</v>
      </c>
      <c r="AV10" s="58">
        <v>1.9065052285714281</v>
      </c>
      <c r="AW10" s="58">
        <v>1.9065052285714281</v>
      </c>
      <c r="AX10" s="58">
        <v>1.9065052285714281</v>
      </c>
      <c r="AY10" s="60">
        <v>1.9065052285714281</v>
      </c>
      <c r="AZ10" s="64"/>
    </row>
    <row r="11" spans="2:52" x14ac:dyDescent="0.2">
      <c r="C11" s="12"/>
      <c r="D11" s="13"/>
      <c r="Q11" s="2" t="s">
        <v>9</v>
      </c>
      <c r="R11" s="3" t="s">
        <v>77</v>
      </c>
      <c r="S11" s="3" t="s">
        <v>79</v>
      </c>
      <c r="T11" s="4"/>
      <c r="AA11" s="71">
        <f>AA10+1</f>
        <v>2</v>
      </c>
      <c r="AB11" s="66">
        <v>1.9591102285714284</v>
      </c>
      <c r="AC11" s="63">
        <v>1.9591102285714284</v>
      </c>
      <c r="AD11" s="63">
        <v>1.9591102285714284</v>
      </c>
      <c r="AE11" s="63">
        <v>1.9591102285714284</v>
      </c>
      <c r="AF11" s="63">
        <v>1.9591102285714284</v>
      </c>
      <c r="AG11" s="63">
        <v>1.9591102285714284</v>
      </c>
      <c r="AH11" s="63">
        <v>1.9591102285714284</v>
      </c>
      <c r="AI11" s="63">
        <v>1.9591102285714284</v>
      </c>
      <c r="AJ11" s="63">
        <v>1.9591102285714284</v>
      </c>
      <c r="AK11" s="63">
        <v>1.9591102285714284</v>
      </c>
      <c r="AL11" s="63">
        <v>1.9591102285714284</v>
      </c>
      <c r="AM11" s="63">
        <v>1.9591102285714284</v>
      </c>
      <c r="AN11" s="62">
        <v>1.9591102285714284</v>
      </c>
      <c r="AO11" s="62">
        <v>1.9591102285714284</v>
      </c>
      <c r="AP11" s="62">
        <v>1.9591102285714284</v>
      </c>
      <c r="AQ11" s="62">
        <v>1.9591102285714284</v>
      </c>
      <c r="AR11" s="62">
        <v>1.9591102285714284</v>
      </c>
      <c r="AS11" s="62">
        <v>1.9591102285714284</v>
      </c>
      <c r="AT11" s="62">
        <v>1.9591102285714284</v>
      </c>
      <c r="AU11" s="62">
        <v>1.9591102285714284</v>
      </c>
      <c r="AV11" s="62">
        <v>1.9591102285714284</v>
      </c>
      <c r="AW11" s="62">
        <v>1.9591102285714284</v>
      </c>
      <c r="AX11" s="62">
        <v>1.9591102285714284</v>
      </c>
      <c r="AY11" s="64">
        <v>1.9591102285714284</v>
      </c>
      <c r="AZ11" s="64"/>
    </row>
    <row r="12" spans="2:52" x14ac:dyDescent="0.2">
      <c r="B12" s="1" t="s">
        <v>103</v>
      </c>
      <c r="C12" s="12" t="s">
        <v>11</v>
      </c>
      <c r="D12" s="13">
        <v>9.9999999999999995E-8</v>
      </c>
      <c r="F12" s="25" t="s">
        <v>51</v>
      </c>
      <c r="G12" s="77" t="s">
        <v>87</v>
      </c>
      <c r="H12" s="28"/>
      <c r="I12" s="77" t="s">
        <v>88</v>
      </c>
      <c r="J12" s="77" t="s">
        <v>89</v>
      </c>
      <c r="K12" s="77" t="s">
        <v>90</v>
      </c>
      <c r="L12" s="77" t="s">
        <v>91</v>
      </c>
      <c r="M12" s="31" t="str">
        <f>"RCU needed during "</f>
        <v xml:space="preserve">RCU needed during </v>
      </c>
      <c r="N12" s="31" t="str">
        <f>"WCU needed during "</f>
        <v xml:space="preserve">WCU needed during </v>
      </c>
      <c r="O12" s="77" t="s">
        <v>129</v>
      </c>
      <c r="P12" s="54"/>
      <c r="Q12" s="20" t="s">
        <v>80</v>
      </c>
      <c r="R12" s="20">
        <f>S12*(H28/1000000)</f>
        <v>8.7345000000000006</v>
      </c>
      <c r="S12" s="20">
        <v>3.5</v>
      </c>
      <c r="T12" s="8">
        <f>R12</f>
        <v>8.7345000000000006</v>
      </c>
      <c r="X12" s="3">
        <f>T12/D5</f>
        <v>0.36393750000000002</v>
      </c>
      <c r="AA12" s="71">
        <f t="shared" ref="AA12:AA33" si="3">AA11+1</f>
        <v>3</v>
      </c>
      <c r="AB12" s="66">
        <v>2.0117152285714281</v>
      </c>
      <c r="AC12" s="63">
        <v>2.0117152285714281</v>
      </c>
      <c r="AD12" s="63">
        <v>2.0117152285714281</v>
      </c>
      <c r="AE12" s="63">
        <v>2.0117152285714281</v>
      </c>
      <c r="AF12" s="63">
        <v>2.0117152285714281</v>
      </c>
      <c r="AG12" s="63">
        <v>2.0117152285714281</v>
      </c>
      <c r="AH12" s="63">
        <v>2.0117152285714281</v>
      </c>
      <c r="AI12" s="63">
        <v>2.0117152285714281</v>
      </c>
      <c r="AJ12" s="63">
        <v>2.0117152285714281</v>
      </c>
      <c r="AK12" s="63">
        <v>2.0117152285714281</v>
      </c>
      <c r="AL12" s="63">
        <v>2.0117152285714281</v>
      </c>
      <c r="AM12" s="63">
        <v>2.0117152285714281</v>
      </c>
      <c r="AN12" s="62">
        <v>2.0117152285714281</v>
      </c>
      <c r="AO12" s="62">
        <v>2.0117152285714281</v>
      </c>
      <c r="AP12" s="62">
        <v>2.0117152285714281</v>
      </c>
      <c r="AQ12" s="62">
        <v>2.0117152285714281</v>
      </c>
      <c r="AR12" s="62">
        <v>2.0117152285714281</v>
      </c>
      <c r="AS12" s="62">
        <v>2.0117152285714281</v>
      </c>
      <c r="AT12" s="62">
        <v>2.0117152285714281</v>
      </c>
      <c r="AU12" s="62">
        <v>2.0117152285714281</v>
      </c>
      <c r="AV12" s="62">
        <v>2.0117152285714281</v>
      </c>
      <c r="AW12" s="62">
        <v>2.0117152285714281</v>
      </c>
      <c r="AX12" s="62">
        <v>2.0117152285714281</v>
      </c>
      <c r="AY12" s="64">
        <v>2.0117152285714281</v>
      </c>
      <c r="AZ12" s="64"/>
    </row>
    <row r="13" spans="2:52" x14ac:dyDescent="0.2">
      <c r="B13" s="1" t="s">
        <v>104</v>
      </c>
      <c r="C13" s="12" t="s">
        <v>12</v>
      </c>
      <c r="D13" s="13">
        <v>9.9999999999999995E-7</v>
      </c>
      <c r="F13" s="27"/>
      <c r="G13" s="78"/>
      <c r="H13" s="27" t="s">
        <v>10</v>
      </c>
      <c r="I13" s="79"/>
      <c r="J13" s="78"/>
      <c r="K13" s="78"/>
      <c r="L13" s="79"/>
      <c r="M13" s="32" t="str">
        <f>D30 &amp; " hours per days"</f>
        <v>17 hours per days</v>
      </c>
      <c r="N13" s="32" t="str">
        <f>D30 &amp; " hours per days"</f>
        <v>17 hours per days</v>
      </c>
      <c r="O13" s="78"/>
      <c r="P13" s="53"/>
      <c r="AA13" s="71">
        <f t="shared" si="3"/>
        <v>4</v>
      </c>
      <c r="AB13" s="66">
        <v>2.0889190285714281</v>
      </c>
      <c r="AC13" s="63">
        <v>2.0889190285714281</v>
      </c>
      <c r="AD13" s="63">
        <v>2.0889190285714281</v>
      </c>
      <c r="AE13" s="63">
        <v>2.0889190285714281</v>
      </c>
      <c r="AF13" s="63">
        <v>2.0889190285714281</v>
      </c>
      <c r="AG13" s="63">
        <v>2.0889190285714281</v>
      </c>
      <c r="AH13" s="63">
        <v>2.0889190285714281</v>
      </c>
      <c r="AI13" s="63">
        <v>2.0889190285714281</v>
      </c>
      <c r="AJ13" s="63">
        <v>2.0889190285714281</v>
      </c>
      <c r="AK13" s="63">
        <v>2.0889190285714281</v>
      </c>
      <c r="AL13" s="63">
        <v>2.0889190285714281</v>
      </c>
      <c r="AM13" s="63">
        <v>2.0889190285714281</v>
      </c>
      <c r="AN13" s="62">
        <v>2.0889190285714281</v>
      </c>
      <c r="AO13" s="62">
        <v>2.0889190285714281</v>
      </c>
      <c r="AP13" s="62">
        <v>2.0889190285714281</v>
      </c>
      <c r="AQ13" s="62">
        <v>2.0889190285714281</v>
      </c>
      <c r="AR13" s="62">
        <v>2.0889190285714281</v>
      </c>
      <c r="AS13" s="62">
        <v>2.0889190285714281</v>
      </c>
      <c r="AT13" s="62">
        <v>2.0889190285714281</v>
      </c>
      <c r="AU13" s="62">
        <v>2.0889190285714281</v>
      </c>
      <c r="AV13" s="62">
        <v>2.0889190285714281</v>
      </c>
      <c r="AW13" s="62">
        <v>2.0889190285714281</v>
      </c>
      <c r="AX13" s="62">
        <v>2.0889190285714281</v>
      </c>
      <c r="AY13" s="64">
        <v>2.0889190285714281</v>
      </c>
      <c r="AZ13" s="64"/>
    </row>
    <row r="14" spans="2:52" x14ac:dyDescent="0.2">
      <c r="C14" s="12"/>
      <c r="D14" s="13"/>
      <c r="F14" s="26" t="s">
        <v>17</v>
      </c>
      <c r="G14" s="26">
        <v>400</v>
      </c>
      <c r="H14" s="26">
        <f>D6*D15*30*D5</f>
        <v>216000</v>
      </c>
      <c r="I14" s="26">
        <f>G14*H14</f>
        <v>86400000</v>
      </c>
      <c r="J14" s="26">
        <f>(1.5*G6+1.5*G5)/1000</f>
        <v>0.16500000000000001</v>
      </c>
      <c r="K14" s="26">
        <f>ROUNDUP(J14,0)</f>
        <v>1</v>
      </c>
      <c r="L14" s="26">
        <f>(H14/(30*D5))/D44</f>
        <v>4.9019607843137254E-3</v>
      </c>
      <c r="M14" s="26">
        <f>(L14*(ROUNDUP(K14/4,0)))/2</f>
        <v>2.4509803921568627E-3</v>
      </c>
      <c r="N14" s="9"/>
      <c r="O14" s="28"/>
      <c r="Q14" s="2" t="s">
        <v>139</v>
      </c>
      <c r="R14" s="3"/>
      <c r="S14" s="3" t="s">
        <v>81</v>
      </c>
      <c r="T14" s="4"/>
      <c r="AA14" s="71">
        <f t="shared" si="3"/>
        <v>5</v>
      </c>
      <c r="AB14" s="66">
        <v>2.1682540285714285</v>
      </c>
      <c r="AC14" s="63">
        <v>2.1682540285714285</v>
      </c>
      <c r="AD14" s="63">
        <v>2.1682540285714285</v>
      </c>
      <c r="AE14" s="63">
        <v>2.1682540285714285</v>
      </c>
      <c r="AF14" s="63">
        <v>2.1682540285714285</v>
      </c>
      <c r="AG14" s="63">
        <v>2.1682540285714285</v>
      </c>
      <c r="AH14" s="63">
        <v>2.1682540285714285</v>
      </c>
      <c r="AI14" s="63">
        <v>2.1682540285714285</v>
      </c>
      <c r="AJ14" s="63">
        <v>2.1682540285714285</v>
      </c>
      <c r="AK14" s="63">
        <v>2.1682540285714285</v>
      </c>
      <c r="AL14" s="63">
        <v>2.1682540285714285</v>
      </c>
      <c r="AM14" s="63">
        <v>2.1682540285714285</v>
      </c>
      <c r="AN14" s="62">
        <v>2.1682540285714285</v>
      </c>
      <c r="AO14" s="62">
        <v>2.1682540285714285</v>
      </c>
      <c r="AP14" s="62">
        <v>2.1682540285714285</v>
      </c>
      <c r="AQ14" s="62">
        <v>2.1682540285714285</v>
      </c>
      <c r="AR14" s="62">
        <v>2.1682540285714285</v>
      </c>
      <c r="AS14" s="62">
        <v>2.1682540285714285</v>
      </c>
      <c r="AT14" s="62">
        <v>2.1682540285714285</v>
      </c>
      <c r="AU14" s="62">
        <v>2.1682540285714285</v>
      </c>
      <c r="AV14" s="62">
        <v>2.1682540285714285</v>
      </c>
      <c r="AW14" s="62">
        <v>2.1682540285714285</v>
      </c>
      <c r="AX14" s="62">
        <v>2.1682540285714285</v>
      </c>
      <c r="AY14" s="64">
        <v>2.1682540285714285</v>
      </c>
      <c r="AZ14" s="64"/>
    </row>
    <row r="15" spans="2:52" x14ac:dyDescent="0.2">
      <c r="B15" s="1" t="s">
        <v>105</v>
      </c>
      <c r="C15" s="12" t="s">
        <v>55</v>
      </c>
      <c r="D15" s="13">
        <v>3</v>
      </c>
      <c r="F15" s="26" t="s">
        <v>18</v>
      </c>
      <c r="G15" s="26">
        <v>400</v>
      </c>
      <c r="H15" s="26">
        <f>D6*D15*30*D5</f>
        <v>216000</v>
      </c>
      <c r="I15" s="26">
        <f t="shared" ref="I15:I24" si="4">G15*H15</f>
        <v>86400000</v>
      </c>
      <c r="J15" s="26">
        <f>(0.5*G6+0.5*G5)/1000</f>
        <v>5.5E-2</v>
      </c>
      <c r="K15" s="26">
        <f t="shared" ref="K15:K27" si="5">ROUNDUP(J15,0)</f>
        <v>1</v>
      </c>
      <c r="L15" s="26">
        <f>(H15/(30*D5))/D44</f>
        <v>4.9019607843137254E-3</v>
      </c>
      <c r="M15" s="26">
        <f t="shared" ref="M15:M17" si="6">(L15*(ROUNDUP(K15/4,0)))/2</f>
        <v>2.4509803921568627E-3</v>
      </c>
      <c r="N15" s="9"/>
      <c r="O15" s="26"/>
      <c r="Q15" s="20" t="s">
        <v>35</v>
      </c>
      <c r="R15" s="20">
        <f>MAX(0,I28-(3200000*D5*1000))*(S15/100)</f>
        <v>0</v>
      </c>
      <c r="S15" s="20">
        <v>2.0800000000000001E-7</v>
      </c>
      <c r="T15" s="8">
        <f>R15</f>
        <v>0</v>
      </c>
      <c r="X15" s="3">
        <f>T15/D5</f>
        <v>0</v>
      </c>
      <c r="AA15" s="71">
        <f t="shared" si="3"/>
        <v>6</v>
      </c>
      <c r="AB15" s="66">
        <v>2.2475890285714284</v>
      </c>
      <c r="AC15" s="63">
        <v>2.2475890285714284</v>
      </c>
      <c r="AD15" s="63">
        <v>2.2475890285714284</v>
      </c>
      <c r="AE15" s="63">
        <v>2.2475890285714284</v>
      </c>
      <c r="AF15" s="63">
        <v>2.2475890285714284</v>
      </c>
      <c r="AG15" s="63">
        <v>2.2475890285714284</v>
      </c>
      <c r="AH15" s="63">
        <v>2.2475890285714284</v>
      </c>
      <c r="AI15" s="63">
        <v>2.2475890285714284</v>
      </c>
      <c r="AJ15" s="63">
        <v>2.2475890285714284</v>
      </c>
      <c r="AK15" s="63">
        <v>2.2475890285714284</v>
      </c>
      <c r="AL15" s="63">
        <v>2.2475890285714284</v>
      </c>
      <c r="AM15" s="63">
        <v>2.2475890285714284</v>
      </c>
      <c r="AN15" s="62">
        <v>2.2475890285714284</v>
      </c>
      <c r="AO15" s="62">
        <v>2.2475890285714284</v>
      </c>
      <c r="AP15" s="62">
        <v>2.2475890285714284</v>
      </c>
      <c r="AQ15" s="62">
        <v>2.2475890285714284</v>
      </c>
      <c r="AR15" s="62">
        <v>2.2475890285714284</v>
      </c>
      <c r="AS15" s="62">
        <v>2.2475890285714284</v>
      </c>
      <c r="AT15" s="62">
        <v>2.2475890285714284</v>
      </c>
      <c r="AU15" s="62">
        <v>2.2475890285714284</v>
      </c>
      <c r="AV15" s="62">
        <v>2.2475890285714284</v>
      </c>
      <c r="AW15" s="62">
        <v>2.2475890285714284</v>
      </c>
      <c r="AX15" s="62">
        <v>2.2475890285714284</v>
      </c>
      <c r="AY15" s="64">
        <v>2.2475890285714284</v>
      </c>
      <c r="AZ15" s="64"/>
    </row>
    <row r="16" spans="2:52" x14ac:dyDescent="0.2">
      <c r="B16" s="1" t="s">
        <v>107</v>
      </c>
      <c r="C16" s="12" t="s">
        <v>106</v>
      </c>
      <c r="D16" s="13">
        <v>5</v>
      </c>
      <c r="F16" s="26" t="s">
        <v>19</v>
      </c>
      <c r="G16" s="26">
        <v>1000</v>
      </c>
      <c r="H16" s="26">
        <f>D6*D15*30*D5</f>
        <v>216000</v>
      </c>
      <c r="I16" s="26">
        <f t="shared" si="4"/>
        <v>216000000</v>
      </c>
      <c r="J16" s="26">
        <f>G7/1000</f>
        <v>792.03</v>
      </c>
      <c r="K16" s="26">
        <f t="shared" si="5"/>
        <v>793</v>
      </c>
      <c r="L16" s="26">
        <f>(H16/(30*D5))/D44</f>
        <v>4.9019607843137254E-3</v>
      </c>
      <c r="M16" s="26"/>
      <c r="N16" s="9"/>
      <c r="O16" s="26">
        <f>(L16*(ROUNDUP((K16/D5)/4,0)))/2</f>
        <v>2.2058823529411763E-2</v>
      </c>
      <c r="Q16" s="52"/>
      <c r="R16" s="52"/>
      <c r="S16" s="52"/>
      <c r="T16" s="23"/>
      <c r="X16" s="48"/>
      <c r="AA16" s="71">
        <f t="shared" si="3"/>
        <v>7</v>
      </c>
      <c r="AB16" s="66">
        <v>2.3269240285714283</v>
      </c>
      <c r="AC16" s="63">
        <v>2.3269240285714283</v>
      </c>
      <c r="AD16" s="63">
        <v>2.3269240285714283</v>
      </c>
      <c r="AE16" s="63">
        <v>2.3269240285714283</v>
      </c>
      <c r="AF16" s="63">
        <v>2.3269240285714283</v>
      </c>
      <c r="AG16" s="63">
        <v>2.3269240285714283</v>
      </c>
      <c r="AH16" s="63">
        <v>2.3269240285714283</v>
      </c>
      <c r="AI16" s="63">
        <v>2.3269240285714283</v>
      </c>
      <c r="AJ16" s="63">
        <v>2.3269240285714283</v>
      </c>
      <c r="AK16" s="63">
        <v>2.3269240285714283</v>
      </c>
      <c r="AL16" s="63">
        <v>2.3269240285714283</v>
      </c>
      <c r="AM16" s="63">
        <v>2.3269240285714283</v>
      </c>
      <c r="AN16" s="62">
        <v>2.3269240285714283</v>
      </c>
      <c r="AO16" s="62">
        <v>2.3269240285714283</v>
      </c>
      <c r="AP16" s="62">
        <v>2.3269240285714283</v>
      </c>
      <c r="AQ16" s="62">
        <v>2.3269240285714283</v>
      </c>
      <c r="AR16" s="62">
        <v>2.3269240285714283</v>
      </c>
      <c r="AS16" s="62">
        <v>2.3269240285714283</v>
      </c>
      <c r="AT16" s="62">
        <v>2.3269240285714283</v>
      </c>
      <c r="AU16" s="62">
        <v>2.3269240285714283</v>
      </c>
      <c r="AV16" s="62">
        <v>2.3269240285714283</v>
      </c>
      <c r="AW16" s="62">
        <v>2.3269240285714283</v>
      </c>
      <c r="AX16" s="62">
        <v>2.3269240285714283</v>
      </c>
      <c r="AY16" s="64">
        <v>2.3269240285714283</v>
      </c>
      <c r="AZ16" s="64"/>
    </row>
    <row r="17" spans="2:52" x14ac:dyDescent="0.2">
      <c r="B17" s="1" t="s">
        <v>108</v>
      </c>
      <c r="C17" s="12" t="s">
        <v>14</v>
      </c>
      <c r="D17" s="13">
        <v>0.05</v>
      </c>
      <c r="F17" s="26" t="s">
        <v>20</v>
      </c>
      <c r="G17" s="26">
        <v>400</v>
      </c>
      <c r="H17" s="26">
        <f>D6*D15*30*D5</f>
        <v>216000</v>
      </c>
      <c r="I17" s="26">
        <f t="shared" si="4"/>
        <v>86400000</v>
      </c>
      <c r="J17" s="26">
        <f>D21*G8/1000</f>
        <v>7.4</v>
      </c>
      <c r="K17" s="26">
        <f t="shared" si="5"/>
        <v>8</v>
      </c>
      <c r="L17" s="26">
        <f>(H17/(30*D5))/D44</f>
        <v>4.9019607843137254E-3</v>
      </c>
      <c r="M17" s="26">
        <f t="shared" si="6"/>
        <v>4.9019607843137254E-3</v>
      </c>
      <c r="N17" s="9"/>
      <c r="O17" s="26"/>
      <c r="Q17" s="57" t="s">
        <v>142</v>
      </c>
      <c r="R17" s="20"/>
      <c r="S17" s="20" t="s">
        <v>141</v>
      </c>
      <c r="T17" s="20"/>
      <c r="X17" s="48"/>
      <c r="AA17" s="71">
        <f t="shared" si="3"/>
        <v>8</v>
      </c>
      <c r="AB17" s="66">
        <v>2.4062590285714278</v>
      </c>
      <c r="AC17" s="63">
        <v>2.4062590285714278</v>
      </c>
      <c r="AD17" s="63">
        <v>2.4062590285714278</v>
      </c>
      <c r="AE17" s="63">
        <v>2.4062590285714278</v>
      </c>
      <c r="AF17" s="63">
        <v>2.4062590285714278</v>
      </c>
      <c r="AG17" s="63">
        <v>2.4062590285714278</v>
      </c>
      <c r="AH17" s="63">
        <v>2.4062590285714278</v>
      </c>
      <c r="AI17" s="63">
        <v>2.4062590285714278</v>
      </c>
      <c r="AJ17" s="63">
        <v>2.4062590285714278</v>
      </c>
      <c r="AK17" s="63">
        <v>2.4062590285714278</v>
      </c>
      <c r="AL17" s="63">
        <v>2.4062590285714278</v>
      </c>
      <c r="AM17" s="63">
        <v>2.4062590285714278</v>
      </c>
      <c r="AN17" s="62">
        <v>2.4062590285714278</v>
      </c>
      <c r="AO17" s="62">
        <v>2.4062590285714278</v>
      </c>
      <c r="AP17" s="62">
        <v>2.4062590285714278</v>
      </c>
      <c r="AQ17" s="62">
        <v>2.4062590285714278</v>
      </c>
      <c r="AR17" s="62">
        <v>2.4062590285714278</v>
      </c>
      <c r="AS17" s="62">
        <v>2.4062590285714278</v>
      </c>
      <c r="AT17" s="62">
        <v>2.4062590285714278</v>
      </c>
      <c r="AU17" s="62">
        <v>2.4062590285714278</v>
      </c>
      <c r="AV17" s="62">
        <v>2.4062590285714278</v>
      </c>
      <c r="AW17" s="62">
        <v>2.4062590285714278</v>
      </c>
      <c r="AX17" s="62">
        <v>2.4062590285714278</v>
      </c>
      <c r="AY17" s="64">
        <v>2.4062590285714278</v>
      </c>
      <c r="AZ17" s="64"/>
    </row>
    <row r="18" spans="2:52" x14ac:dyDescent="0.2">
      <c r="B18" s="1" t="s">
        <v>109</v>
      </c>
      <c r="C18" s="12" t="s">
        <v>100</v>
      </c>
      <c r="D18" s="13">
        <v>20</v>
      </c>
      <c r="F18" s="26" t="s">
        <v>21</v>
      </c>
      <c r="G18" s="26">
        <v>100</v>
      </c>
      <c r="H18" s="26">
        <f>D6*D15*30*D5</f>
        <v>216000</v>
      </c>
      <c r="I18" s="26">
        <f t="shared" si="4"/>
        <v>21600000</v>
      </c>
      <c r="J18" s="26">
        <f>G9/1000</f>
        <v>1.83</v>
      </c>
      <c r="K18" s="26">
        <f t="shared" si="5"/>
        <v>2</v>
      </c>
      <c r="L18" s="26">
        <f>(H18/(30*D5))/D44</f>
        <v>4.9019607843137254E-3</v>
      </c>
      <c r="M18" s="26">
        <f>(L18*(ROUNDUP(K18/4,0)))/2</f>
        <v>2.4509803921568627E-3</v>
      </c>
      <c r="N18" s="9"/>
      <c r="O18" s="26"/>
      <c r="Q18" s="3" t="s">
        <v>140</v>
      </c>
      <c r="R18" s="56">
        <f>H28</f>
        <v>2495571.4285714286</v>
      </c>
      <c r="S18" s="3">
        <v>1.9999999999999999E-7</v>
      </c>
      <c r="T18" s="3">
        <f>R18*S18</f>
        <v>0.49911428571428573</v>
      </c>
      <c r="X18" s="3">
        <f>T18/D5</f>
        <v>2.0796428571428573E-2</v>
      </c>
      <c r="AA18" s="71">
        <f t="shared" si="3"/>
        <v>9</v>
      </c>
      <c r="AB18" s="66">
        <v>2.4855940285714282</v>
      </c>
      <c r="AC18" s="63">
        <v>2.4855940285714282</v>
      </c>
      <c r="AD18" s="63">
        <v>2.4855940285714282</v>
      </c>
      <c r="AE18" s="63">
        <v>2.4855940285714282</v>
      </c>
      <c r="AF18" s="63">
        <v>2.4855940285714282</v>
      </c>
      <c r="AG18" s="63">
        <v>2.4855940285714282</v>
      </c>
      <c r="AH18" s="63">
        <v>2.4855940285714282</v>
      </c>
      <c r="AI18" s="63">
        <v>2.4855940285714282</v>
      </c>
      <c r="AJ18" s="63">
        <v>2.4855940285714282</v>
      </c>
      <c r="AK18" s="63">
        <v>2.4855940285714282</v>
      </c>
      <c r="AL18" s="63">
        <v>2.4855940285714282</v>
      </c>
      <c r="AM18" s="63">
        <v>2.4855940285714282</v>
      </c>
      <c r="AN18" s="62">
        <v>2.4855940285714282</v>
      </c>
      <c r="AO18" s="62">
        <v>2.4855940285714282</v>
      </c>
      <c r="AP18" s="62">
        <v>2.4855940285714282</v>
      </c>
      <c r="AQ18" s="62">
        <v>2.4855940285714282</v>
      </c>
      <c r="AR18" s="62">
        <v>2.4855940285714282</v>
      </c>
      <c r="AS18" s="62">
        <v>2.4855940285714282</v>
      </c>
      <c r="AT18" s="62">
        <v>2.4855940285714282</v>
      </c>
      <c r="AU18" s="62">
        <v>2.4855940285714282</v>
      </c>
      <c r="AV18" s="62">
        <v>2.4855940285714282</v>
      </c>
      <c r="AW18" s="62">
        <v>2.4855940285714282</v>
      </c>
      <c r="AX18" s="62">
        <v>2.4855940285714282</v>
      </c>
      <c r="AY18" s="64">
        <v>2.4855940285714282</v>
      </c>
      <c r="AZ18" s="64"/>
    </row>
    <row r="19" spans="2:52" x14ac:dyDescent="0.2">
      <c r="B19" s="1" t="s">
        <v>110</v>
      </c>
      <c r="C19" s="12" t="s">
        <v>41</v>
      </c>
      <c r="D19" s="13">
        <v>30</v>
      </c>
      <c r="F19" s="26" t="s">
        <v>22</v>
      </c>
      <c r="G19" s="26">
        <v>500</v>
      </c>
      <c r="H19" s="26">
        <f>D18*D17*H16</f>
        <v>216000</v>
      </c>
      <c r="I19" s="26">
        <f t="shared" si="4"/>
        <v>108000000</v>
      </c>
      <c r="J19" s="26">
        <f>D13*1000*1000*1000</f>
        <v>1000</v>
      </c>
      <c r="K19" s="26">
        <f t="shared" si="5"/>
        <v>1000</v>
      </c>
      <c r="L19" s="26">
        <f>(H19/(30*D5))/D44</f>
        <v>4.9019607843137254E-3</v>
      </c>
      <c r="M19" s="26"/>
      <c r="N19" s="9"/>
      <c r="O19" s="26"/>
      <c r="AA19" s="71">
        <f t="shared" si="3"/>
        <v>10</v>
      </c>
      <c r="AB19" s="66">
        <v>2.5649290285714286</v>
      </c>
      <c r="AC19" s="63">
        <v>2.5649290285714286</v>
      </c>
      <c r="AD19" s="63">
        <v>2.5649290285714286</v>
      </c>
      <c r="AE19" s="63">
        <v>2.5649290285714286</v>
      </c>
      <c r="AF19" s="63">
        <v>2.5649290285714286</v>
      </c>
      <c r="AG19" s="63">
        <v>2.5649290285714286</v>
      </c>
      <c r="AH19" s="63">
        <v>2.5649290285714286</v>
      </c>
      <c r="AI19" s="63">
        <v>2.5649290285714286</v>
      </c>
      <c r="AJ19" s="63">
        <v>2.5649290285714286</v>
      </c>
      <c r="AK19" s="63">
        <v>2.5649290285714286</v>
      </c>
      <c r="AL19" s="63">
        <v>2.5649290285714286</v>
      </c>
      <c r="AM19" s="63">
        <v>2.5649290285714286</v>
      </c>
      <c r="AN19" s="62">
        <v>2.5649290285714286</v>
      </c>
      <c r="AO19" s="62">
        <v>2.5649290285714286</v>
      </c>
      <c r="AP19" s="62">
        <v>2.5649290285714286</v>
      </c>
      <c r="AQ19" s="62">
        <v>2.5649290285714286</v>
      </c>
      <c r="AR19" s="62">
        <v>2.5649290285714286</v>
      </c>
      <c r="AS19" s="62">
        <v>2.5649290285714286</v>
      </c>
      <c r="AT19" s="62">
        <v>2.5649290285714286</v>
      </c>
      <c r="AU19" s="62">
        <v>2.5649290285714286</v>
      </c>
      <c r="AV19" s="62">
        <v>2.5649290285714286</v>
      </c>
      <c r="AW19" s="62">
        <v>2.5649290285714286</v>
      </c>
      <c r="AX19" s="62">
        <v>2.5649290285714286</v>
      </c>
      <c r="AY19" s="64">
        <v>2.5649290285714286</v>
      </c>
      <c r="AZ19" s="64"/>
    </row>
    <row r="20" spans="2:52" x14ac:dyDescent="0.2">
      <c r="C20" s="12"/>
      <c r="D20" s="13"/>
      <c r="F20" s="26" t="s">
        <v>23</v>
      </c>
      <c r="G20" s="26">
        <v>1000</v>
      </c>
      <c r="H20" s="26">
        <f>D42*D36*D17*30*D5</f>
        <v>27000</v>
      </c>
      <c r="I20" s="26">
        <f t="shared" si="4"/>
        <v>27000000</v>
      </c>
      <c r="J20" s="26">
        <f>J19</f>
        <v>1000</v>
      </c>
      <c r="K20" s="26">
        <f t="shared" si="5"/>
        <v>1000</v>
      </c>
      <c r="L20" s="26">
        <f>(H20/(30*D5))/D44</f>
        <v>6.1274509803921568E-4</v>
      </c>
      <c r="M20" s="26"/>
      <c r="N20" s="9"/>
      <c r="O20" s="26"/>
      <c r="Q20" s="18" t="s">
        <v>134</v>
      </c>
      <c r="R20" s="23"/>
      <c r="S20" s="23"/>
      <c r="T20" s="4"/>
      <c r="AA20" s="71">
        <f t="shared" si="3"/>
        <v>11</v>
      </c>
      <c r="AB20" s="66">
        <v>2.6442640285714281</v>
      </c>
      <c r="AC20" s="63">
        <v>2.6442640285714281</v>
      </c>
      <c r="AD20" s="63">
        <v>2.6442640285714281</v>
      </c>
      <c r="AE20" s="63">
        <v>2.6442640285714281</v>
      </c>
      <c r="AF20" s="63">
        <v>2.6442640285714281</v>
      </c>
      <c r="AG20" s="63">
        <v>2.6442640285714281</v>
      </c>
      <c r="AH20" s="63">
        <v>2.6442640285714281</v>
      </c>
      <c r="AI20" s="63">
        <v>2.6442640285714281</v>
      </c>
      <c r="AJ20" s="63">
        <v>2.6442640285714281</v>
      </c>
      <c r="AK20" s="63">
        <v>2.6442640285714281</v>
      </c>
      <c r="AL20" s="63">
        <v>2.6442640285714281</v>
      </c>
      <c r="AM20" s="63">
        <v>2.6442640285714281</v>
      </c>
      <c r="AN20" s="62">
        <v>2.6442640285714281</v>
      </c>
      <c r="AO20" s="62">
        <v>2.6442640285714281</v>
      </c>
      <c r="AP20" s="62">
        <v>2.6442640285714281</v>
      </c>
      <c r="AQ20" s="62">
        <v>2.6442640285714281</v>
      </c>
      <c r="AR20" s="62">
        <v>2.6442640285714281</v>
      </c>
      <c r="AS20" s="62">
        <v>2.6442640285714281</v>
      </c>
      <c r="AT20" s="62">
        <v>2.6442640285714281</v>
      </c>
      <c r="AU20" s="62">
        <v>2.6442640285714281</v>
      </c>
      <c r="AV20" s="62">
        <v>2.6442640285714281</v>
      </c>
      <c r="AW20" s="62">
        <v>2.6442640285714281</v>
      </c>
      <c r="AX20" s="62">
        <v>2.6442640285714281</v>
      </c>
      <c r="AY20" s="64">
        <v>2.6442640285714281</v>
      </c>
      <c r="AZ20" s="64"/>
    </row>
    <row r="21" spans="2:52" x14ac:dyDescent="0.2">
      <c r="B21" s="1" t="s">
        <v>112</v>
      </c>
      <c r="C21" s="12" t="s">
        <v>42</v>
      </c>
      <c r="D21" s="13">
        <v>5</v>
      </c>
      <c r="F21" s="26" t="s">
        <v>24</v>
      </c>
      <c r="G21" s="26">
        <v>500</v>
      </c>
      <c r="H21" s="29">
        <f>D22*D36*30*D5</f>
        <v>7714.2857142857138</v>
      </c>
      <c r="I21" s="26">
        <f t="shared" si="4"/>
        <v>3857142.8571428568</v>
      </c>
      <c r="J21" s="26">
        <f>(80+D24*70)/1000</f>
        <v>1.48</v>
      </c>
      <c r="K21" s="26">
        <f t="shared" si="5"/>
        <v>2</v>
      </c>
      <c r="L21" s="26">
        <f>(H21/(30*D5))/D44</f>
        <v>1.7507002801120446E-4</v>
      </c>
      <c r="M21" s="26"/>
      <c r="N21" s="9">
        <f>L21*(ROUNDUP(K21,0))</f>
        <v>3.5014005602240891E-4</v>
      </c>
      <c r="O21" s="26"/>
      <c r="Q21" s="19" t="s">
        <v>124</v>
      </c>
      <c r="R21" s="19">
        <f>(D41*D13*30)</f>
        <v>1.1249999999999999E-3</v>
      </c>
      <c r="S21" s="19"/>
      <c r="T21" s="6"/>
      <c r="AA21" s="71">
        <f t="shared" si="3"/>
        <v>12</v>
      </c>
      <c r="AB21" s="66">
        <v>2.7235990285714289</v>
      </c>
      <c r="AC21" s="63">
        <v>2.7235990285714289</v>
      </c>
      <c r="AD21" s="63">
        <v>2.7235990285714289</v>
      </c>
      <c r="AE21" s="63">
        <v>2.7235990285714289</v>
      </c>
      <c r="AF21" s="63">
        <v>2.7235990285714289</v>
      </c>
      <c r="AG21" s="63">
        <v>2.7235990285714289</v>
      </c>
      <c r="AH21" s="63">
        <v>2.7235990285714289</v>
      </c>
      <c r="AI21" s="63">
        <v>2.7235990285714289</v>
      </c>
      <c r="AJ21" s="63">
        <v>2.7235990285714289</v>
      </c>
      <c r="AK21" s="63">
        <v>2.7235990285714289</v>
      </c>
      <c r="AL21" s="63">
        <v>2.7235990285714289</v>
      </c>
      <c r="AM21" s="63">
        <v>2.7235990285714289</v>
      </c>
      <c r="AN21" s="62">
        <v>2.7235990285714289</v>
      </c>
      <c r="AO21" s="62">
        <v>2.7235990285714289</v>
      </c>
      <c r="AP21" s="62">
        <v>2.7235990285714289</v>
      </c>
      <c r="AQ21" s="62">
        <v>2.7235990285714289</v>
      </c>
      <c r="AR21" s="62">
        <v>2.7235990285714289</v>
      </c>
      <c r="AS21" s="62">
        <v>2.7235990285714289</v>
      </c>
      <c r="AT21" s="62">
        <v>2.7235990285714289</v>
      </c>
      <c r="AU21" s="62">
        <v>2.7235990285714289</v>
      </c>
      <c r="AV21" s="62">
        <v>2.7235990285714289</v>
      </c>
      <c r="AW21" s="62">
        <v>2.7235990285714289</v>
      </c>
      <c r="AX21" s="62">
        <v>2.7235990285714289</v>
      </c>
      <c r="AY21" s="64">
        <v>2.7235990285714289</v>
      </c>
      <c r="AZ21" s="64"/>
    </row>
    <row r="22" spans="2:52" x14ac:dyDescent="0.2">
      <c r="B22" s="1" t="s">
        <v>113</v>
      </c>
      <c r="C22" s="12" t="s">
        <v>53</v>
      </c>
      <c r="D22" s="14">
        <f>(2/7)</f>
        <v>0.2857142857142857</v>
      </c>
      <c r="F22" s="26" t="s">
        <v>25</v>
      </c>
      <c r="G22" s="26">
        <v>200</v>
      </c>
      <c r="H22" s="26">
        <f>D42*D36*30*D5</f>
        <v>540000</v>
      </c>
      <c r="I22" s="26">
        <f t="shared" si="4"/>
        <v>108000000</v>
      </c>
      <c r="J22" s="26">
        <f>(80+D19)/1000</f>
        <v>0.11</v>
      </c>
      <c r="K22" s="26">
        <f t="shared" si="5"/>
        <v>1</v>
      </c>
      <c r="L22" s="26">
        <f>(H22/(30*D5))/D44</f>
        <v>1.2254901960784314E-2</v>
      </c>
      <c r="M22" s="26"/>
      <c r="N22" s="9">
        <f t="shared" ref="N22:N27" si="7">L22*(ROUNDUP(K22,0))</f>
        <v>1.2254901960784314E-2</v>
      </c>
      <c r="O22" s="26"/>
      <c r="Q22" s="20" t="s">
        <v>125</v>
      </c>
      <c r="R22" s="20">
        <f>(D5*(R21/2))+R21*((D5-1)*(D5)/2)</f>
        <v>0.32400000000000001</v>
      </c>
      <c r="S22" s="20">
        <f>R22*1000</f>
        <v>324</v>
      </c>
      <c r="T22" s="6"/>
      <c r="V22" s="3">
        <f>(D5-1)*R21+R21/2</f>
        <v>2.6437499999999999E-2</v>
      </c>
      <c r="W22" s="3">
        <f>V22*1000</f>
        <v>26.4375</v>
      </c>
      <c r="X22" s="4"/>
      <c r="AA22" s="71">
        <f t="shared" si="3"/>
        <v>13</v>
      </c>
      <c r="AB22" s="61">
        <v>2.8029340285714288</v>
      </c>
      <c r="AC22" s="62">
        <v>2.8029340285714288</v>
      </c>
      <c r="AD22" s="62">
        <v>2.8029340285714288</v>
      </c>
      <c r="AE22" s="62">
        <v>2.8029340285714288</v>
      </c>
      <c r="AF22" s="62">
        <v>2.8029340285714288</v>
      </c>
      <c r="AG22" s="62">
        <v>2.8029340285714288</v>
      </c>
      <c r="AH22" s="62">
        <v>2.8029340285714288</v>
      </c>
      <c r="AI22" s="62">
        <v>2.8029340285714288</v>
      </c>
      <c r="AJ22" s="62">
        <v>2.8029340285714288</v>
      </c>
      <c r="AK22" s="62">
        <v>2.8029340285714288</v>
      </c>
      <c r="AL22" s="62">
        <v>2.8029340285714288</v>
      </c>
      <c r="AM22" s="62">
        <v>2.8029340285714288</v>
      </c>
      <c r="AN22" s="62">
        <v>2.8029340285714288</v>
      </c>
      <c r="AO22" s="62">
        <v>2.8029340285714288</v>
      </c>
      <c r="AP22" s="62">
        <v>2.8029340285714288</v>
      </c>
      <c r="AQ22" s="62">
        <v>2.8029340285714288</v>
      </c>
      <c r="AR22" s="62">
        <v>2.8029340285714288</v>
      </c>
      <c r="AS22" s="62">
        <v>2.8029340285714288</v>
      </c>
      <c r="AT22" s="62">
        <v>2.8029340285714288</v>
      </c>
      <c r="AU22" s="62">
        <v>2.8029340285714288</v>
      </c>
      <c r="AV22" s="62">
        <v>2.8029340285714288</v>
      </c>
      <c r="AW22" s="62">
        <v>2.8029340285714288</v>
      </c>
      <c r="AX22" s="62">
        <v>2.8029340285714288</v>
      </c>
      <c r="AY22" s="64">
        <v>2.8029340285714288</v>
      </c>
      <c r="AZ22" s="64"/>
    </row>
    <row r="23" spans="2:52" x14ac:dyDescent="0.2">
      <c r="B23" s="1" t="s">
        <v>113</v>
      </c>
      <c r="C23" s="12" t="s">
        <v>54</v>
      </c>
      <c r="D23" s="14">
        <f>D22</f>
        <v>0.2857142857142857</v>
      </c>
      <c r="F23" s="26" t="s">
        <v>26</v>
      </c>
      <c r="G23" s="26">
        <v>100</v>
      </c>
      <c r="H23" s="29">
        <f>D22*D24*D36*30*D5</f>
        <v>154285.71428571426</v>
      </c>
      <c r="I23" s="26">
        <f t="shared" si="4"/>
        <v>15428571.428571425</v>
      </c>
      <c r="J23" s="26">
        <f>70/1000</f>
        <v>7.0000000000000007E-2</v>
      </c>
      <c r="K23" s="26">
        <f t="shared" si="5"/>
        <v>1</v>
      </c>
      <c r="L23" s="26">
        <f>(H23/(30*D5))/D44</f>
        <v>3.5014005602240889E-3</v>
      </c>
      <c r="M23" s="26"/>
      <c r="N23" s="9">
        <f t="shared" si="7"/>
        <v>3.5014005602240889E-3</v>
      </c>
      <c r="O23" s="26"/>
      <c r="Q23" s="19"/>
      <c r="R23" s="19"/>
      <c r="S23" s="19"/>
      <c r="T23" s="6"/>
      <c r="V23" s="19"/>
      <c r="W23" s="19"/>
      <c r="X23" s="6"/>
      <c r="AA23" s="71">
        <f t="shared" si="3"/>
        <v>14</v>
      </c>
      <c r="AB23" s="61">
        <v>2.8822690285714283</v>
      </c>
      <c r="AC23" s="62">
        <v>2.8822690285714283</v>
      </c>
      <c r="AD23" s="62">
        <v>2.8822690285714283</v>
      </c>
      <c r="AE23" s="62">
        <v>2.8822690285714283</v>
      </c>
      <c r="AF23" s="62">
        <v>2.8822690285714283</v>
      </c>
      <c r="AG23" s="62">
        <v>2.8822690285714283</v>
      </c>
      <c r="AH23" s="62">
        <v>2.8822690285714283</v>
      </c>
      <c r="AI23" s="62">
        <v>2.8822690285714283</v>
      </c>
      <c r="AJ23" s="62">
        <v>2.8822690285714283</v>
      </c>
      <c r="AK23" s="62">
        <v>2.8822690285714283</v>
      </c>
      <c r="AL23" s="62">
        <v>2.8822690285714283</v>
      </c>
      <c r="AM23" s="62">
        <v>2.8822690285714283</v>
      </c>
      <c r="AN23" s="62">
        <v>2.8822690285714283</v>
      </c>
      <c r="AO23" s="62">
        <v>2.8822690285714283</v>
      </c>
      <c r="AP23" s="62">
        <v>2.8822690285714283</v>
      </c>
      <c r="AQ23" s="62">
        <v>2.8822690285714283</v>
      </c>
      <c r="AR23" s="62">
        <v>2.8822690285714283</v>
      </c>
      <c r="AS23" s="62">
        <v>2.8822690285714283</v>
      </c>
      <c r="AT23" s="62">
        <v>2.8822690285714283</v>
      </c>
      <c r="AU23" s="62">
        <v>2.8822690285714283</v>
      </c>
      <c r="AV23" s="62">
        <v>2.8822690285714283</v>
      </c>
      <c r="AW23" s="62">
        <v>2.8822690285714283</v>
      </c>
      <c r="AX23" s="62">
        <v>2.8822690285714283</v>
      </c>
      <c r="AY23" s="64">
        <v>2.8822690285714283</v>
      </c>
      <c r="AZ23" s="64"/>
    </row>
    <row r="24" spans="2:52" x14ac:dyDescent="0.2">
      <c r="B24" s="1" t="s">
        <v>114</v>
      </c>
      <c r="C24" s="12" t="s">
        <v>29</v>
      </c>
      <c r="D24" s="13">
        <v>20</v>
      </c>
      <c r="F24" s="26" t="s">
        <v>27</v>
      </c>
      <c r="G24" s="26">
        <v>100</v>
      </c>
      <c r="H24" s="26">
        <v>0</v>
      </c>
      <c r="I24" s="26">
        <f t="shared" si="4"/>
        <v>0</v>
      </c>
      <c r="J24" s="26">
        <f>180/1000</f>
        <v>0.18</v>
      </c>
      <c r="K24" s="26">
        <f t="shared" si="5"/>
        <v>1</v>
      </c>
      <c r="L24" s="26">
        <f>(H24/(30*D5))/D44</f>
        <v>0</v>
      </c>
      <c r="M24" s="26"/>
      <c r="N24" s="9">
        <f t="shared" si="7"/>
        <v>0</v>
      </c>
      <c r="O24" s="26"/>
      <c r="Q24" s="21" t="s">
        <v>135</v>
      </c>
      <c r="R24" s="7" t="s">
        <v>77</v>
      </c>
      <c r="S24" s="20" t="s">
        <v>82</v>
      </c>
      <c r="T24" s="6"/>
      <c r="V24" s="46" t="s">
        <v>77</v>
      </c>
      <c r="W24" s="46" t="s">
        <v>82</v>
      </c>
      <c r="X24" s="19"/>
      <c r="AA24" s="71">
        <f t="shared" si="3"/>
        <v>15</v>
      </c>
      <c r="AB24" s="61">
        <v>2.9616040285714282</v>
      </c>
      <c r="AC24" s="62">
        <v>2.9616040285714282</v>
      </c>
      <c r="AD24" s="62">
        <v>2.9616040285714282</v>
      </c>
      <c r="AE24" s="62">
        <v>2.9616040285714282</v>
      </c>
      <c r="AF24" s="62">
        <v>2.9616040285714282</v>
      </c>
      <c r="AG24" s="62">
        <v>2.9616040285714282</v>
      </c>
      <c r="AH24" s="62">
        <v>2.9616040285714282</v>
      </c>
      <c r="AI24" s="62">
        <v>2.9616040285714282</v>
      </c>
      <c r="AJ24" s="62">
        <v>2.9616040285714282</v>
      </c>
      <c r="AK24" s="62">
        <v>2.9616040285714282</v>
      </c>
      <c r="AL24" s="62">
        <v>2.9616040285714282</v>
      </c>
      <c r="AM24" s="62">
        <v>2.9616040285714282</v>
      </c>
      <c r="AN24" s="62">
        <v>2.9616040285714282</v>
      </c>
      <c r="AO24" s="62">
        <v>2.9616040285714282</v>
      </c>
      <c r="AP24" s="62">
        <v>2.9616040285714282</v>
      </c>
      <c r="AQ24" s="62">
        <v>2.9616040285714282</v>
      </c>
      <c r="AR24" s="62">
        <v>2.9616040285714282</v>
      </c>
      <c r="AS24" s="62">
        <v>2.9616040285714282</v>
      </c>
      <c r="AT24" s="62">
        <v>2.9616040285714282</v>
      </c>
      <c r="AU24" s="62">
        <v>2.9616040285714282</v>
      </c>
      <c r="AV24" s="62">
        <v>2.9616040285714282</v>
      </c>
      <c r="AW24" s="62">
        <v>2.9616040285714282</v>
      </c>
      <c r="AX24" s="62">
        <v>2.9616040285714282</v>
      </c>
      <c r="AY24" s="64">
        <v>2.9616040285714282</v>
      </c>
      <c r="AZ24" s="64"/>
    </row>
    <row r="25" spans="2:52" x14ac:dyDescent="0.2">
      <c r="B25" s="1" t="s">
        <v>115</v>
      </c>
      <c r="C25" s="12" t="s">
        <v>32</v>
      </c>
      <c r="D25" s="13">
        <v>1</v>
      </c>
      <c r="F25" s="26" t="s">
        <v>31</v>
      </c>
      <c r="G25" s="26">
        <v>100</v>
      </c>
      <c r="H25" s="29">
        <f>H23</f>
        <v>154285.71428571426</v>
      </c>
      <c r="I25" s="26">
        <f>G25*H25</f>
        <v>15428571.428571425</v>
      </c>
      <c r="J25" s="26">
        <f>10/1000</f>
        <v>0.01</v>
      </c>
      <c r="K25" s="26">
        <f t="shared" si="5"/>
        <v>1</v>
      </c>
      <c r="L25" s="26">
        <f>(H25/(30*D5))/D44</f>
        <v>3.5014005602240889E-3</v>
      </c>
      <c r="M25" s="26"/>
      <c r="N25" s="9">
        <f t="shared" si="7"/>
        <v>3.5014005602240889E-3</v>
      </c>
      <c r="O25" s="26"/>
      <c r="Q25" s="19" t="s">
        <v>38</v>
      </c>
      <c r="R25" s="19">
        <f>IF(R22&lt;=50*D5,S22*S25,50000*D5*S25)</f>
        <v>7.452</v>
      </c>
      <c r="S25" s="19">
        <v>2.3E-2</v>
      </c>
      <c r="T25" s="6"/>
      <c r="V25" s="19">
        <f>IF(V22&lt;=50,W22*W25,50000*W25)</f>
        <v>0.60806249999999995</v>
      </c>
      <c r="W25" s="19">
        <v>2.3E-2</v>
      </c>
      <c r="X25" s="6"/>
      <c r="AA25" s="71">
        <f t="shared" si="3"/>
        <v>16</v>
      </c>
      <c r="AB25" s="61">
        <v>3.0409390285714282</v>
      </c>
      <c r="AC25" s="62">
        <v>3.0409390285714282</v>
      </c>
      <c r="AD25" s="62">
        <v>3.0409390285714282</v>
      </c>
      <c r="AE25" s="62">
        <v>3.0409390285714282</v>
      </c>
      <c r="AF25" s="62">
        <v>3.0409390285714282</v>
      </c>
      <c r="AG25" s="62">
        <v>3.0409390285714282</v>
      </c>
      <c r="AH25" s="62">
        <v>3.0409390285714282</v>
      </c>
      <c r="AI25" s="62">
        <v>3.0409390285714282</v>
      </c>
      <c r="AJ25" s="62">
        <v>3.0409390285714282</v>
      </c>
      <c r="AK25" s="62">
        <v>3.0409390285714282</v>
      </c>
      <c r="AL25" s="62">
        <v>3.0409390285714282</v>
      </c>
      <c r="AM25" s="62">
        <v>3.0409390285714282</v>
      </c>
      <c r="AN25" s="62">
        <v>3.0409390285714282</v>
      </c>
      <c r="AO25" s="62">
        <v>3.0409390285714282</v>
      </c>
      <c r="AP25" s="62">
        <v>3.0409390285714282</v>
      </c>
      <c r="AQ25" s="62">
        <v>3.0409390285714282</v>
      </c>
      <c r="AR25" s="62">
        <v>3.0409390285714282</v>
      </c>
      <c r="AS25" s="62">
        <v>3.0409390285714282</v>
      </c>
      <c r="AT25" s="62">
        <v>3.0409390285714282</v>
      </c>
      <c r="AU25" s="62">
        <v>3.0409390285714282</v>
      </c>
      <c r="AV25" s="62">
        <v>3.0409390285714282</v>
      </c>
      <c r="AW25" s="62">
        <v>3.0409390285714282</v>
      </c>
      <c r="AX25" s="62">
        <v>3.0409390285714282</v>
      </c>
      <c r="AY25" s="64">
        <v>3.0409390285714282</v>
      </c>
      <c r="AZ25" s="64"/>
    </row>
    <row r="26" spans="2:52" x14ac:dyDescent="0.2">
      <c r="B26" s="1" t="s">
        <v>116</v>
      </c>
      <c r="C26" s="12" t="s">
        <v>36</v>
      </c>
      <c r="D26" s="13">
        <v>2</v>
      </c>
      <c r="F26" s="26" t="s">
        <v>33</v>
      </c>
      <c r="G26" s="26">
        <v>100</v>
      </c>
      <c r="H26" s="29">
        <f>H21</f>
        <v>7714.2857142857138</v>
      </c>
      <c r="I26" s="26">
        <f>G26*H26</f>
        <v>771428.57142857136</v>
      </c>
      <c r="J26" s="26">
        <v>0</v>
      </c>
      <c r="K26" s="26">
        <f t="shared" si="5"/>
        <v>0</v>
      </c>
      <c r="L26" s="26">
        <f>(H26/(30*D5))/D44</f>
        <v>1.7507002801120446E-4</v>
      </c>
      <c r="M26" s="26"/>
      <c r="N26" s="9">
        <f t="shared" si="7"/>
        <v>0</v>
      </c>
      <c r="O26" s="26"/>
      <c r="Q26" s="19" t="s">
        <v>39</v>
      </c>
      <c r="R26" s="19">
        <f>IF(R22-50*D5&lt;=450*D5,MAX(0,(S22-50000*D5)*S26),450000*D5*S26)</f>
        <v>0</v>
      </c>
      <c r="S26" s="19">
        <v>2.1999999999999999E-2</v>
      </c>
      <c r="T26" s="6"/>
      <c r="V26" s="19">
        <f>IF(V22-50*G5&lt;=450*G5,MAX(0,(W22-50000*G5)*W26),450000*G5*W26)</f>
        <v>0</v>
      </c>
      <c r="W26" s="19">
        <v>2.1999999999999999E-2</v>
      </c>
      <c r="X26" s="6"/>
      <c r="AA26" s="71">
        <f t="shared" si="3"/>
        <v>17</v>
      </c>
      <c r="AB26" s="61">
        <v>3.1202740285714285</v>
      </c>
      <c r="AC26" s="62">
        <v>3.1202740285714285</v>
      </c>
      <c r="AD26" s="62">
        <v>3.1202740285714285</v>
      </c>
      <c r="AE26" s="62">
        <v>3.1202740285714285</v>
      </c>
      <c r="AF26" s="62">
        <v>3.1202740285714285</v>
      </c>
      <c r="AG26" s="62">
        <v>3.1202740285714285</v>
      </c>
      <c r="AH26" s="62">
        <v>3.1202740285714285</v>
      </c>
      <c r="AI26" s="62">
        <v>3.1202740285714285</v>
      </c>
      <c r="AJ26" s="62">
        <v>3.1202740285714285</v>
      </c>
      <c r="AK26" s="62">
        <v>3.1202740285714285</v>
      </c>
      <c r="AL26" s="62">
        <v>3.1202740285714285</v>
      </c>
      <c r="AM26" s="62">
        <v>3.1202740285714285</v>
      </c>
      <c r="AN26" s="62">
        <v>3.1202740285714285</v>
      </c>
      <c r="AO26" s="62">
        <v>3.1202740285714285</v>
      </c>
      <c r="AP26" s="62">
        <v>3.1202740285714285</v>
      </c>
      <c r="AQ26" s="62">
        <v>3.1202740285714285</v>
      </c>
      <c r="AR26" s="62">
        <v>3.1202740285714285</v>
      </c>
      <c r="AS26" s="62">
        <v>3.1202740285714285</v>
      </c>
      <c r="AT26" s="62">
        <v>3.1202740285714285</v>
      </c>
      <c r="AU26" s="62">
        <v>3.1202740285714285</v>
      </c>
      <c r="AV26" s="62">
        <v>3.1202740285714285</v>
      </c>
      <c r="AW26" s="62">
        <v>3.1202740285714285</v>
      </c>
      <c r="AX26" s="62">
        <v>3.1202740285714285</v>
      </c>
      <c r="AY26" s="64">
        <v>3.1202740285714285</v>
      </c>
      <c r="AZ26" s="64"/>
    </row>
    <row r="27" spans="2:52" x14ac:dyDescent="0.2">
      <c r="C27" s="12"/>
      <c r="D27" s="13"/>
      <c r="F27" s="26" t="s">
        <v>34</v>
      </c>
      <c r="G27" s="26">
        <v>100</v>
      </c>
      <c r="H27" s="29">
        <f>H23*D26</f>
        <v>308571.42857142852</v>
      </c>
      <c r="I27" s="26">
        <f>G27*H27</f>
        <v>30857142.857142851</v>
      </c>
      <c r="J27" s="26">
        <f>1/1000</f>
        <v>1E-3</v>
      </c>
      <c r="K27" s="26">
        <f t="shared" si="5"/>
        <v>1</v>
      </c>
      <c r="L27" s="26">
        <f>(H27/(30*D5))/D44</f>
        <v>7.0028011204481778E-3</v>
      </c>
      <c r="M27" s="26"/>
      <c r="N27" s="9">
        <f t="shared" si="7"/>
        <v>7.0028011204481778E-3</v>
      </c>
      <c r="O27" s="26"/>
      <c r="Q27" s="19" t="s">
        <v>40</v>
      </c>
      <c r="R27" s="19">
        <f>IF(R22-500*D5&gt;0,(S22-500000*D5)*S27,0)</f>
        <v>0</v>
      </c>
      <c r="S27" s="19">
        <v>2.1000000000000001E-2</v>
      </c>
      <c r="T27" s="6"/>
      <c r="V27" s="19">
        <f>IF(V22-500*G5&gt;0,(W22-500000*G5)*W27,0)</f>
        <v>0</v>
      </c>
      <c r="W27" s="19">
        <v>2.1000000000000001E-2</v>
      </c>
      <c r="X27" s="6"/>
      <c r="AA27" s="71">
        <f t="shared" si="3"/>
        <v>18</v>
      </c>
      <c r="AB27" s="61">
        <v>3.1996090285714285</v>
      </c>
      <c r="AC27" s="62">
        <v>3.1996090285714285</v>
      </c>
      <c r="AD27" s="62">
        <v>3.1996090285714285</v>
      </c>
      <c r="AE27" s="62">
        <v>3.1996090285714285</v>
      </c>
      <c r="AF27" s="62">
        <v>3.1996090285714285</v>
      </c>
      <c r="AG27" s="62">
        <v>3.1996090285714285</v>
      </c>
      <c r="AH27" s="62">
        <v>3.1996090285714285</v>
      </c>
      <c r="AI27" s="62">
        <v>3.1996090285714285</v>
      </c>
      <c r="AJ27" s="62">
        <v>3.1996090285714285</v>
      </c>
      <c r="AK27" s="62">
        <v>3.1996090285714285</v>
      </c>
      <c r="AL27" s="62">
        <v>3.1996090285714285</v>
      </c>
      <c r="AM27" s="62">
        <v>3.1996090285714285</v>
      </c>
      <c r="AN27" s="62">
        <v>3.1996090285714285</v>
      </c>
      <c r="AO27" s="62">
        <v>3.1996090285714285</v>
      </c>
      <c r="AP27" s="62">
        <v>3.1996090285714285</v>
      </c>
      <c r="AQ27" s="62">
        <v>3.1996090285714285</v>
      </c>
      <c r="AR27" s="62">
        <v>3.1996090285714285</v>
      </c>
      <c r="AS27" s="62">
        <v>3.1996090285714285</v>
      </c>
      <c r="AT27" s="62">
        <v>3.1996090285714285</v>
      </c>
      <c r="AU27" s="62">
        <v>3.1996090285714285</v>
      </c>
      <c r="AV27" s="62">
        <v>3.1996090285714285</v>
      </c>
      <c r="AW27" s="62">
        <v>3.1996090285714285</v>
      </c>
      <c r="AX27" s="62">
        <v>3.1996090285714285</v>
      </c>
      <c r="AY27" s="64">
        <v>3.1996090285714285</v>
      </c>
      <c r="AZ27" s="64"/>
    </row>
    <row r="28" spans="2:52" x14ac:dyDescent="0.2">
      <c r="B28" s="1" t="s">
        <v>111</v>
      </c>
      <c r="C28" s="12" t="s">
        <v>30</v>
      </c>
      <c r="D28" s="13">
        <v>10</v>
      </c>
      <c r="F28" s="43" t="s">
        <v>13</v>
      </c>
      <c r="G28" s="43"/>
      <c r="H28" s="44">
        <f>SUM(H14:H27)</f>
        <v>2495571.4285714286</v>
      </c>
      <c r="I28" s="43">
        <f>SUM(I14:I27)</f>
        <v>806142857.14285707</v>
      </c>
      <c r="J28" s="43"/>
      <c r="K28" s="43"/>
      <c r="L28" s="43"/>
      <c r="M28" s="43">
        <f>SUM(M14:M19)</f>
        <v>1.2254901960784314E-2</v>
      </c>
      <c r="N28" s="45">
        <f>SUM(N21:N27)</f>
        <v>2.6610644257703077E-2</v>
      </c>
      <c r="O28" s="43">
        <f>SUM(O14:O27)</f>
        <v>2.2058823529411763E-2</v>
      </c>
      <c r="Q28" s="3" t="s">
        <v>13</v>
      </c>
      <c r="R28" s="20"/>
      <c r="S28" s="20"/>
      <c r="T28" s="8">
        <f>SUM(R25:R27)</f>
        <v>7.452</v>
      </c>
      <c r="V28" s="20"/>
      <c r="W28" s="20"/>
      <c r="X28" s="8">
        <f>SUM(V25:V27)</f>
        <v>0.60806249999999995</v>
      </c>
      <c r="AA28" s="71">
        <f t="shared" si="3"/>
        <v>19</v>
      </c>
      <c r="AB28" s="61">
        <v>3.2789440285714284</v>
      </c>
      <c r="AC28" s="62">
        <v>3.2789440285714284</v>
      </c>
      <c r="AD28" s="62">
        <v>3.2789440285714284</v>
      </c>
      <c r="AE28" s="62">
        <v>3.2789440285714284</v>
      </c>
      <c r="AF28" s="62">
        <v>3.2789440285714284</v>
      </c>
      <c r="AG28" s="62">
        <v>3.2789440285714284</v>
      </c>
      <c r="AH28" s="62">
        <v>3.2789440285714284</v>
      </c>
      <c r="AI28" s="62">
        <v>3.2789440285714284</v>
      </c>
      <c r="AJ28" s="62">
        <v>3.2789440285714284</v>
      </c>
      <c r="AK28" s="62">
        <v>3.2789440285714284</v>
      </c>
      <c r="AL28" s="62">
        <v>3.2789440285714284</v>
      </c>
      <c r="AM28" s="62">
        <v>3.2789440285714284</v>
      </c>
      <c r="AN28" s="62">
        <v>3.2789440285714284</v>
      </c>
      <c r="AO28" s="62">
        <v>3.2789440285714284</v>
      </c>
      <c r="AP28" s="62">
        <v>3.2789440285714284</v>
      </c>
      <c r="AQ28" s="62">
        <v>3.2789440285714284</v>
      </c>
      <c r="AR28" s="62">
        <v>3.2789440285714284</v>
      </c>
      <c r="AS28" s="62">
        <v>3.2789440285714284</v>
      </c>
      <c r="AT28" s="62">
        <v>3.2789440285714284</v>
      </c>
      <c r="AU28" s="62">
        <v>3.2789440285714284</v>
      </c>
      <c r="AV28" s="62">
        <v>3.2789440285714284</v>
      </c>
      <c r="AW28" s="62">
        <v>3.2789440285714284</v>
      </c>
      <c r="AX28" s="62">
        <v>3.2789440285714284</v>
      </c>
      <c r="AY28" s="64">
        <v>3.2789440285714284</v>
      </c>
      <c r="AZ28" s="64"/>
    </row>
    <row r="29" spans="2:52" x14ac:dyDescent="0.2">
      <c r="C29" s="12"/>
      <c r="D29" s="13"/>
      <c r="Q29" s="19"/>
      <c r="R29" s="19"/>
      <c r="S29" s="19"/>
      <c r="T29" s="6"/>
      <c r="AA29" s="71">
        <f t="shared" si="3"/>
        <v>20</v>
      </c>
      <c r="AB29" s="61">
        <v>3.3582790285714279</v>
      </c>
      <c r="AC29" s="62">
        <v>3.3582790285714279</v>
      </c>
      <c r="AD29" s="62">
        <v>3.3582790285714279</v>
      </c>
      <c r="AE29" s="62">
        <v>3.3582790285714279</v>
      </c>
      <c r="AF29" s="62">
        <v>3.3582790285714279</v>
      </c>
      <c r="AG29" s="62">
        <v>3.3582790285714279</v>
      </c>
      <c r="AH29" s="62">
        <v>3.3582790285714279</v>
      </c>
      <c r="AI29" s="62">
        <v>3.3582790285714279</v>
      </c>
      <c r="AJ29" s="62">
        <v>3.3582790285714279</v>
      </c>
      <c r="AK29" s="62">
        <v>3.3582790285714279</v>
      </c>
      <c r="AL29" s="62">
        <v>3.3582790285714279</v>
      </c>
      <c r="AM29" s="62">
        <v>3.3582790285714279</v>
      </c>
      <c r="AN29" s="62">
        <v>3.3582790285714279</v>
      </c>
      <c r="AO29" s="62">
        <v>3.3582790285714279</v>
      </c>
      <c r="AP29" s="62">
        <v>3.3582790285714279</v>
      </c>
      <c r="AQ29" s="62">
        <v>3.3582790285714279</v>
      </c>
      <c r="AR29" s="62">
        <v>3.3582790285714279</v>
      </c>
      <c r="AS29" s="62">
        <v>3.3582790285714279</v>
      </c>
      <c r="AT29" s="62">
        <v>3.3582790285714279</v>
      </c>
      <c r="AU29" s="62">
        <v>3.3582790285714279</v>
      </c>
      <c r="AV29" s="62">
        <v>3.3582790285714279</v>
      </c>
      <c r="AW29" s="62">
        <v>3.3582790285714279</v>
      </c>
      <c r="AX29" s="62">
        <v>3.3582790285714279</v>
      </c>
      <c r="AY29" s="64">
        <v>3.3582790285714279</v>
      </c>
      <c r="AZ29" s="64"/>
    </row>
    <row r="30" spans="2:52" x14ac:dyDescent="0.2">
      <c r="B30" s="1" t="s">
        <v>97</v>
      </c>
      <c r="C30" s="12" t="s">
        <v>43</v>
      </c>
      <c r="D30" s="13">
        <v>17</v>
      </c>
      <c r="Q30" s="21" t="s">
        <v>74</v>
      </c>
      <c r="R30" s="20" t="s">
        <v>77</v>
      </c>
      <c r="S30" s="20" t="s">
        <v>83</v>
      </c>
      <c r="T30" s="6"/>
      <c r="AA30" s="71">
        <f t="shared" si="3"/>
        <v>21</v>
      </c>
      <c r="AB30" s="61">
        <v>3.4376140285714287</v>
      </c>
      <c r="AC30" s="62">
        <v>3.4376140285714287</v>
      </c>
      <c r="AD30" s="62">
        <v>3.4376140285714287</v>
      </c>
      <c r="AE30" s="62">
        <v>3.4376140285714287</v>
      </c>
      <c r="AF30" s="62">
        <v>3.4376140285714287</v>
      </c>
      <c r="AG30" s="62">
        <v>3.4376140285714287</v>
      </c>
      <c r="AH30" s="62">
        <v>3.4376140285714287</v>
      </c>
      <c r="AI30" s="62">
        <v>3.4376140285714287</v>
      </c>
      <c r="AJ30" s="62">
        <v>3.4376140285714287</v>
      </c>
      <c r="AK30" s="62">
        <v>3.4376140285714287</v>
      </c>
      <c r="AL30" s="62">
        <v>3.4376140285714287</v>
      </c>
      <c r="AM30" s="62">
        <v>3.4376140285714287</v>
      </c>
      <c r="AN30" s="62">
        <v>3.4376140285714287</v>
      </c>
      <c r="AO30" s="62">
        <v>3.4376140285714287</v>
      </c>
      <c r="AP30" s="62">
        <v>3.4376140285714287</v>
      </c>
      <c r="AQ30" s="62">
        <v>3.4376140285714287</v>
      </c>
      <c r="AR30" s="62">
        <v>3.4376140285714287</v>
      </c>
      <c r="AS30" s="62">
        <v>3.4376140285714287</v>
      </c>
      <c r="AT30" s="62">
        <v>3.4376140285714287</v>
      </c>
      <c r="AU30" s="62">
        <v>3.4376140285714287</v>
      </c>
      <c r="AV30" s="62">
        <v>3.4376140285714287</v>
      </c>
      <c r="AW30" s="62">
        <v>3.4376140285714287</v>
      </c>
      <c r="AX30" s="62">
        <v>3.4376140285714287</v>
      </c>
      <c r="AY30" s="64">
        <v>3.4376140285714287</v>
      </c>
      <c r="AZ30" s="64"/>
    </row>
    <row r="31" spans="2:52" x14ac:dyDescent="0.2">
      <c r="B31" s="1" t="s">
        <v>117</v>
      </c>
      <c r="C31" s="15" t="s">
        <v>56</v>
      </c>
      <c r="D31" s="16">
        <v>0.25</v>
      </c>
      <c r="F31" s="37" t="s">
        <v>59</v>
      </c>
      <c r="G31" s="38"/>
      <c r="Q31" s="19" t="s">
        <v>76</v>
      </c>
      <c r="R31" s="19">
        <f>(H20/1000)*S31</f>
        <v>0.13500000000000001</v>
      </c>
      <c r="S31" s="19">
        <v>5.0000000000000001E-3</v>
      </c>
      <c r="T31" s="6"/>
      <c r="AA31" s="71">
        <f t="shared" si="3"/>
        <v>22</v>
      </c>
      <c r="AB31" s="61">
        <v>3.5169490285714287</v>
      </c>
      <c r="AC31" s="62">
        <v>3.5169490285714287</v>
      </c>
      <c r="AD31" s="62">
        <v>3.5169490285714287</v>
      </c>
      <c r="AE31" s="62">
        <v>3.5169490285714287</v>
      </c>
      <c r="AF31" s="62">
        <v>3.5169490285714287</v>
      </c>
      <c r="AG31" s="62">
        <v>3.5169490285714287</v>
      </c>
      <c r="AH31" s="62">
        <v>3.5169490285714287</v>
      </c>
      <c r="AI31" s="62">
        <v>3.5169490285714287</v>
      </c>
      <c r="AJ31" s="62">
        <v>3.5169490285714287</v>
      </c>
      <c r="AK31" s="62">
        <v>3.5169490285714287</v>
      </c>
      <c r="AL31" s="62">
        <v>3.5169490285714287</v>
      </c>
      <c r="AM31" s="62">
        <v>3.5169490285714287</v>
      </c>
      <c r="AN31" s="62">
        <v>3.5169490285714287</v>
      </c>
      <c r="AO31" s="62">
        <v>3.5169490285714287</v>
      </c>
      <c r="AP31" s="62">
        <v>3.5169490285714287</v>
      </c>
      <c r="AQ31" s="62">
        <v>3.5169490285714287</v>
      </c>
      <c r="AR31" s="62">
        <v>3.5169490285714287</v>
      </c>
      <c r="AS31" s="62">
        <v>3.5169490285714287</v>
      </c>
      <c r="AT31" s="62">
        <v>3.5169490285714287</v>
      </c>
      <c r="AU31" s="62">
        <v>3.5169490285714287</v>
      </c>
      <c r="AV31" s="62">
        <v>3.5169490285714287</v>
      </c>
      <c r="AW31" s="62">
        <v>3.5169490285714287</v>
      </c>
      <c r="AX31" s="62">
        <v>3.5169490285714287</v>
      </c>
      <c r="AY31" s="64">
        <v>3.5169490285714287</v>
      </c>
      <c r="AZ31" s="64"/>
    </row>
    <row r="32" spans="2:52" x14ac:dyDescent="0.2">
      <c r="F32" s="39"/>
      <c r="G32" s="40"/>
      <c r="Q32" s="19" t="s">
        <v>75</v>
      </c>
      <c r="R32" s="19">
        <f>(H19/1000)*S32</f>
        <v>8.6400000000000005E-2</v>
      </c>
      <c r="S32" s="19">
        <v>4.0000000000000002E-4</v>
      </c>
      <c r="T32" s="6"/>
      <c r="AA32" s="71">
        <f t="shared" si="3"/>
        <v>23</v>
      </c>
      <c r="AB32" s="61">
        <v>3.5962840285714277</v>
      </c>
      <c r="AC32" s="62">
        <v>3.5962840285714277</v>
      </c>
      <c r="AD32" s="62">
        <v>3.5962840285714277</v>
      </c>
      <c r="AE32" s="62">
        <v>3.5962840285714277</v>
      </c>
      <c r="AF32" s="62">
        <v>3.5962840285714277</v>
      </c>
      <c r="AG32" s="62">
        <v>3.5962840285714277</v>
      </c>
      <c r="AH32" s="62">
        <v>3.5962840285714277</v>
      </c>
      <c r="AI32" s="62">
        <v>3.5962840285714277</v>
      </c>
      <c r="AJ32" s="62">
        <v>3.5962840285714277</v>
      </c>
      <c r="AK32" s="62">
        <v>3.5962840285714277</v>
      </c>
      <c r="AL32" s="62">
        <v>3.5962840285714277</v>
      </c>
      <c r="AM32" s="62">
        <v>3.5962840285714277</v>
      </c>
      <c r="AN32" s="62">
        <v>3.5962840285714277</v>
      </c>
      <c r="AO32" s="62">
        <v>3.5962840285714277</v>
      </c>
      <c r="AP32" s="62">
        <v>3.5962840285714277</v>
      </c>
      <c r="AQ32" s="62">
        <v>3.5962840285714277</v>
      </c>
      <c r="AR32" s="62">
        <v>3.5962840285714277</v>
      </c>
      <c r="AS32" s="62">
        <v>3.5962840285714277</v>
      </c>
      <c r="AT32" s="62">
        <v>3.5962840285714277</v>
      </c>
      <c r="AU32" s="62">
        <v>3.5962840285714277</v>
      </c>
      <c r="AV32" s="62">
        <v>3.5962840285714277</v>
      </c>
      <c r="AW32" s="62">
        <v>3.5962840285714277</v>
      </c>
      <c r="AX32" s="62">
        <v>3.5962840285714277</v>
      </c>
      <c r="AY32" s="64">
        <v>3.5962840285714277</v>
      </c>
      <c r="AZ32" s="64"/>
    </row>
    <row r="33" spans="3:52" x14ac:dyDescent="0.2">
      <c r="F33" s="39" t="s">
        <v>50</v>
      </c>
      <c r="G33" s="40">
        <f>H28/(30*D5)/24/60/60</f>
        <v>4.0116567460317464E-2</v>
      </c>
      <c r="Q33" s="3" t="s">
        <v>13</v>
      </c>
      <c r="R33" s="20"/>
      <c r="S33" s="20"/>
      <c r="T33" s="8">
        <f>SUM(R31:R32)</f>
        <v>0.22140000000000001</v>
      </c>
      <c r="X33" s="3">
        <f>T33/D5</f>
        <v>9.2250000000000006E-3</v>
      </c>
      <c r="AA33" s="71">
        <f t="shared" si="3"/>
        <v>24</v>
      </c>
      <c r="AB33" s="67">
        <v>3.6756190285714281</v>
      </c>
      <c r="AC33" s="68">
        <v>3.6756190285714281</v>
      </c>
      <c r="AD33" s="68">
        <v>3.6756190285714281</v>
      </c>
      <c r="AE33" s="68">
        <v>3.6756190285714281</v>
      </c>
      <c r="AF33" s="68">
        <v>3.6756190285714281</v>
      </c>
      <c r="AG33" s="68">
        <v>3.6756190285714281</v>
      </c>
      <c r="AH33" s="68">
        <v>3.6756190285714281</v>
      </c>
      <c r="AI33" s="68">
        <v>3.6756190285714281</v>
      </c>
      <c r="AJ33" s="68">
        <v>3.6756190285714281</v>
      </c>
      <c r="AK33" s="68">
        <v>3.6756190285714281</v>
      </c>
      <c r="AL33" s="68">
        <v>3.6756190285714281</v>
      </c>
      <c r="AM33" s="68">
        <v>3.6756190285714281</v>
      </c>
      <c r="AN33" s="68">
        <v>3.6756190285714281</v>
      </c>
      <c r="AO33" s="68">
        <v>3.6756190285714281</v>
      </c>
      <c r="AP33" s="68">
        <v>3.6756190285714281</v>
      </c>
      <c r="AQ33" s="68">
        <v>3.6756190285714281</v>
      </c>
      <c r="AR33" s="68">
        <v>3.6756190285714281</v>
      </c>
      <c r="AS33" s="68">
        <v>3.6756190285714281</v>
      </c>
      <c r="AT33" s="68">
        <v>3.6756190285714281</v>
      </c>
      <c r="AU33" s="68">
        <v>3.6756190285714281</v>
      </c>
      <c r="AV33" s="68">
        <v>3.6756190285714281</v>
      </c>
      <c r="AW33" s="68">
        <v>3.6756190285714281</v>
      </c>
      <c r="AX33" s="68">
        <v>3.6756190285714281</v>
      </c>
      <c r="AY33" s="69">
        <v>3.6756190285714281</v>
      </c>
      <c r="AZ33" s="64"/>
    </row>
    <row r="34" spans="3:52" x14ac:dyDescent="0.2">
      <c r="C34" s="10" t="s">
        <v>52</v>
      </c>
      <c r="D34" s="11"/>
      <c r="F34" s="39" t="s">
        <v>94</v>
      </c>
      <c r="G34" s="40">
        <f>H20</f>
        <v>27000</v>
      </c>
      <c r="AA34" s="73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74">
        <f>SUM(AB10,AC11,AD12,AE13,AF14,AG15,AH16,AI17,AJ18,AK19,AL20,AM21,AN22,AO23,AP24,AQ25,AR26,AS27,AT28,AU29,AV30,AW31,AX32,AY33)</f>
        <v>66.404980285714288</v>
      </c>
    </row>
    <row r="35" spans="3:52" x14ac:dyDescent="0.2">
      <c r="C35" s="12"/>
      <c r="D35" s="13"/>
      <c r="F35" s="39" t="s">
        <v>119</v>
      </c>
      <c r="G35" s="40">
        <f>SUMPRODUCT(G14:G27,H14:H27)/SUM(H14:H27)</f>
        <v>323.02936630602778</v>
      </c>
      <c r="Q35" s="18" t="s">
        <v>64</v>
      </c>
      <c r="R35" s="3" t="s">
        <v>77</v>
      </c>
      <c r="S35" s="8" t="s">
        <v>130</v>
      </c>
      <c r="T35" s="4"/>
      <c r="AA35" s="75"/>
    </row>
    <row r="36" spans="3:52" x14ac:dyDescent="0.2">
      <c r="C36" s="12" t="s">
        <v>0</v>
      </c>
      <c r="D36" s="13">
        <f>D6*(D8/D7)</f>
        <v>37.5</v>
      </c>
      <c r="F36" s="39" t="s">
        <v>120</v>
      </c>
      <c r="G36" s="40">
        <f>(G35/1000)*G33</f>
        <v>1.2958829365079366E-2</v>
      </c>
      <c r="Q36" s="19" t="str">
        <f>"Provisioned RCU during period of use ("&amp;D30&amp;" hours)"</f>
        <v>Provisioned RCU during period of use (17 hours)</v>
      </c>
      <c r="R36" s="19">
        <f>ROUNDUP(1.43*M28,0)*S36*D30*D5*30</f>
        <v>1.5911999999999997</v>
      </c>
      <c r="S36" s="6">
        <f>0.00013</f>
        <v>1.2999999999999999E-4</v>
      </c>
      <c r="T36" s="6"/>
      <c r="AA36" s="75"/>
    </row>
    <row r="37" spans="3:52" x14ac:dyDescent="0.2">
      <c r="C37" s="12"/>
      <c r="D37" s="13"/>
      <c r="F37" s="41" t="s">
        <v>121</v>
      </c>
      <c r="G37" s="42">
        <f>D36+D6</f>
        <v>137.5</v>
      </c>
      <c r="Q37" s="19" t="str">
        <f>"Provisioned WCU during period of use ("&amp;D30&amp;" hours)"</f>
        <v>Provisioned WCU during period of use (17 hours)</v>
      </c>
      <c r="R37" s="19">
        <f>ROUNDUP(1.43*N28,0)*S37*D30*30*D5</f>
        <v>7.9559999999999995</v>
      </c>
      <c r="S37" s="6">
        <f>0.00065</f>
        <v>6.4999999999999997E-4</v>
      </c>
      <c r="T37" s="6"/>
      <c r="AA37" s="75"/>
    </row>
    <row r="38" spans="3:52" x14ac:dyDescent="0.2">
      <c r="C38" s="12" t="s">
        <v>1</v>
      </c>
      <c r="D38" s="13">
        <f>D10*D6</f>
        <v>75</v>
      </c>
      <c r="Q38" s="19" t="str">
        <f>"Provisioned RCU during period of non use (" &amp; 24-D30 &amp; " hours)"</f>
        <v>Provisioned RCU during period of non use (7 hours)</v>
      </c>
      <c r="R38" s="19">
        <f>ROUNDUP(M28*D31,0)*S38*(24-D30)*30*D5</f>
        <v>0.6552</v>
      </c>
      <c r="S38" s="6">
        <f>0.00013</f>
        <v>1.2999999999999999E-4</v>
      </c>
      <c r="T38" s="6"/>
    </row>
    <row r="39" spans="3:52" x14ac:dyDescent="0.2">
      <c r="C39" s="12" t="s">
        <v>2</v>
      </c>
      <c r="D39" s="13">
        <f>D38*D12</f>
        <v>7.4999999999999993E-6</v>
      </c>
      <c r="Q39" s="19" t="str">
        <f>"Provisioned WCU during period of non use (" &amp; 24-D30 &amp; " hours)"</f>
        <v>Provisioned WCU during period of non use (7 hours)</v>
      </c>
      <c r="R39" s="19">
        <f>ROUNDUP(N28*D31,0)*S39*(24-D30)*30*D5</f>
        <v>3.2760000000000002</v>
      </c>
      <c r="S39" s="6">
        <f>0.00065</f>
        <v>6.4999999999999997E-4</v>
      </c>
      <c r="T39" s="6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3:52" x14ac:dyDescent="0.2">
      <c r="C40" s="12"/>
      <c r="D40" s="13"/>
      <c r="Q40" s="3" t="s">
        <v>13</v>
      </c>
      <c r="R40" s="20"/>
      <c r="S40" s="7"/>
      <c r="T40" s="8">
        <f>SUM(R36:R39)</f>
        <v>13.478400000000001</v>
      </c>
      <c r="X40" s="3">
        <f>T40/D5</f>
        <v>0.56159999999999999</v>
      </c>
      <c r="AD40" s="48"/>
      <c r="AE40" s="48"/>
      <c r="AF40" s="48"/>
      <c r="AG40" s="48"/>
      <c r="AH40" s="48"/>
      <c r="AI40" s="48"/>
      <c r="AJ40" s="48"/>
      <c r="AK40" s="48"/>
      <c r="AL40" s="48"/>
    </row>
    <row r="41" spans="3:52" x14ac:dyDescent="0.2">
      <c r="C41" s="12" t="s">
        <v>37</v>
      </c>
      <c r="D41" s="13">
        <f>D42*D17*D36</f>
        <v>37.5</v>
      </c>
      <c r="Q41" s="19"/>
      <c r="R41" s="19"/>
      <c r="S41" s="6"/>
      <c r="T41" s="6"/>
      <c r="X41" s="48"/>
      <c r="AD41" s="48"/>
      <c r="AE41" s="75"/>
      <c r="AF41" s="48"/>
      <c r="AG41" s="48"/>
      <c r="AH41" s="48"/>
      <c r="AI41" s="48"/>
      <c r="AJ41" s="48"/>
      <c r="AK41" s="48"/>
      <c r="AL41" s="48"/>
    </row>
    <row r="42" spans="3:52" x14ac:dyDescent="0.2">
      <c r="C42" s="12" t="s">
        <v>15</v>
      </c>
      <c r="D42" s="13">
        <f>D16*D7</f>
        <v>20</v>
      </c>
      <c r="Q42" s="55" t="s">
        <v>132</v>
      </c>
      <c r="R42" s="5"/>
      <c r="S42" s="19"/>
      <c r="T42" s="6"/>
      <c r="X42" s="48"/>
      <c r="AD42" s="48"/>
      <c r="AE42" s="75"/>
      <c r="AF42" s="48"/>
      <c r="AG42" s="48"/>
      <c r="AH42" s="48"/>
      <c r="AI42" s="48"/>
      <c r="AJ42" s="75"/>
      <c r="AK42" s="48"/>
      <c r="AL42" s="48"/>
    </row>
    <row r="43" spans="3:52" x14ac:dyDescent="0.2">
      <c r="C43" s="12"/>
      <c r="D43" s="13"/>
      <c r="Q43" s="46" t="s">
        <v>133</v>
      </c>
      <c r="R43" s="5">
        <f>(D5*(O28/2))+O28*((D5-1)*(D5)/2)</f>
        <v>6.3529411764705879</v>
      </c>
      <c r="S43" s="5"/>
      <c r="T43" s="19"/>
      <c r="V43" s="52">
        <f>(D5-1)*O28+O28/2</f>
        <v>0.51838235294117641</v>
      </c>
      <c r="W43" s="52"/>
      <c r="X43" s="23"/>
      <c r="AD43" s="48"/>
      <c r="AE43" s="48"/>
      <c r="AF43" s="48"/>
      <c r="AG43" s="48"/>
      <c r="AH43" s="75"/>
      <c r="AI43" s="48"/>
      <c r="AJ43" s="75"/>
      <c r="AK43" s="48"/>
      <c r="AL43" s="48"/>
    </row>
    <row r="44" spans="3:52" x14ac:dyDescent="0.2">
      <c r="C44" s="15" t="s">
        <v>44</v>
      </c>
      <c r="D44" s="16">
        <f>D30*60*60</f>
        <v>61200</v>
      </c>
      <c r="Q44" s="5"/>
      <c r="R44" s="23"/>
      <c r="S44" s="6"/>
      <c r="T44" s="6"/>
      <c r="V44" s="23"/>
      <c r="W44" s="6"/>
      <c r="X44" s="6"/>
      <c r="AA44" s="1" t="s">
        <v>148</v>
      </c>
      <c r="AB44" s="1" t="s">
        <v>149</v>
      </c>
      <c r="AD44" s="48"/>
      <c r="AE44" s="48"/>
      <c r="AF44" s="48"/>
      <c r="AG44" s="48"/>
      <c r="AH44" s="48"/>
      <c r="AI44" s="48"/>
      <c r="AJ44" s="48"/>
      <c r="AK44" s="48"/>
      <c r="AL44" s="48"/>
    </row>
    <row r="45" spans="3:52" x14ac:dyDescent="0.2">
      <c r="Q45" s="5"/>
      <c r="R45" s="19"/>
      <c r="S45" s="6"/>
      <c r="T45" s="6"/>
      <c r="V45" s="19"/>
      <c r="W45" s="6"/>
      <c r="X45" s="6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3:52" x14ac:dyDescent="0.2">
      <c r="Q46" s="21" t="s">
        <v>131</v>
      </c>
      <c r="R46" s="20" t="s">
        <v>77</v>
      </c>
      <c r="S46" s="20" t="s">
        <v>130</v>
      </c>
      <c r="T46" s="6"/>
      <c r="V46" s="20" t="s">
        <v>77</v>
      </c>
      <c r="W46" s="20" t="s">
        <v>130</v>
      </c>
      <c r="X46" s="6"/>
      <c r="AA46" s="1" t="s">
        <v>150</v>
      </c>
      <c r="AB46" s="1">
        <f>X9</f>
        <v>0</v>
      </c>
      <c r="AD46" s="48"/>
      <c r="AE46" s="48"/>
      <c r="AF46" s="48"/>
      <c r="AG46" s="48"/>
      <c r="AH46" s="48"/>
      <c r="AI46" s="48"/>
      <c r="AJ46" s="48"/>
      <c r="AK46" s="48"/>
      <c r="AL46" s="48"/>
    </row>
    <row r="47" spans="3:52" x14ac:dyDescent="0.2">
      <c r="Q47" s="19" t="str">
        <f>"Provisioned RCU during period of use ("&amp;D30&amp;" hours)"</f>
        <v>Provisioned RCU during period of use (17 hours)</v>
      </c>
      <c r="R47" s="19">
        <f>ROUNDUP(1.43*R43,0)*S47*D30*30</f>
        <v>0.66299999999999992</v>
      </c>
      <c r="S47" s="6">
        <f>S36</f>
        <v>1.2999999999999999E-4</v>
      </c>
      <c r="T47" s="6"/>
      <c r="V47" s="19">
        <f>ROUNDUP(1.43*V43,0)*W47*D30*30</f>
        <v>6.6299999999999998E-2</v>
      </c>
      <c r="W47" s="6">
        <f>0.00013</f>
        <v>1.2999999999999999E-4</v>
      </c>
      <c r="X47" s="6"/>
      <c r="AA47" s="1" t="s">
        <v>9</v>
      </c>
      <c r="AB47" s="1">
        <f>X12</f>
        <v>0.36393750000000002</v>
      </c>
    </row>
    <row r="48" spans="3:52" x14ac:dyDescent="0.2">
      <c r="Q48" s="19" t="str">
        <f>"Provisioned RCU during period of non use (" &amp; 24-D30 &amp; " hours)"</f>
        <v>Provisioned RCU during period of non use (7 hours)</v>
      </c>
      <c r="R48" s="19">
        <f>ROUNDUP(1.43*R43,0)*S47*(24-D30)*30</f>
        <v>0.27300000000000002</v>
      </c>
      <c r="S48" s="6">
        <f>S38</f>
        <v>1.2999999999999999E-4</v>
      </c>
      <c r="T48" s="6"/>
      <c r="V48" s="19">
        <f>ROUNDUP(1.43*V43,0)*W48*(24-D30)*30</f>
        <v>2.7299999999999998E-2</v>
      </c>
      <c r="W48" s="6">
        <f>W47</f>
        <v>1.2999999999999999E-4</v>
      </c>
      <c r="X48" s="6"/>
      <c r="AA48" s="1" t="s">
        <v>154</v>
      </c>
      <c r="AB48" s="1">
        <f>X40+X49+X59+X64</f>
        <v>0.6552</v>
      </c>
    </row>
    <row r="49" spans="17:28" x14ac:dyDescent="0.2">
      <c r="Q49" s="3" t="s">
        <v>13</v>
      </c>
      <c r="R49" s="20"/>
      <c r="S49" s="7"/>
      <c r="T49" s="3">
        <f>SUM(R47:R48)</f>
        <v>0.93599999999999994</v>
      </c>
      <c r="V49" s="20"/>
      <c r="W49" s="7"/>
      <c r="X49" s="3">
        <f>SUM(V47:V48)</f>
        <v>9.3599999999999989E-2</v>
      </c>
      <c r="AA49" s="1" t="s">
        <v>151</v>
      </c>
      <c r="AB49" s="1">
        <f>X15+X18</f>
        <v>2.0796428571428573E-2</v>
      </c>
    </row>
    <row r="50" spans="17:28" x14ac:dyDescent="0.2">
      <c r="Q50" s="19"/>
      <c r="R50" s="19"/>
      <c r="S50" s="6"/>
      <c r="T50" s="6"/>
      <c r="AA50" s="1" t="s">
        <v>152</v>
      </c>
      <c r="AB50" s="1">
        <f>X28+X33</f>
        <v>0.61728749999999999</v>
      </c>
    </row>
    <row r="51" spans="17:28" x14ac:dyDescent="0.2">
      <c r="Q51" s="21" t="s">
        <v>136</v>
      </c>
      <c r="R51" s="19"/>
      <c r="S51" s="6"/>
      <c r="T51" s="6"/>
      <c r="AA51" s="1" t="s">
        <v>153</v>
      </c>
      <c r="AB51" s="1">
        <f>X75+X83</f>
        <v>2.0183975999999997</v>
      </c>
    </row>
    <row r="52" spans="17:28" x14ac:dyDescent="0.2">
      <c r="Q52" s="19" t="s">
        <v>127</v>
      </c>
      <c r="R52" s="19">
        <f>K10/1000/1000/1000</f>
        <v>2.4750000000000002E-3</v>
      </c>
      <c r="S52" s="6"/>
      <c r="T52" s="6"/>
    </row>
    <row r="53" spans="17:28" x14ac:dyDescent="0.2">
      <c r="Q53" s="19" t="s">
        <v>73</v>
      </c>
      <c r="R53" s="19">
        <f>I10</f>
        <v>3.9937500000000004E-4</v>
      </c>
      <c r="S53" s="19"/>
      <c r="T53" s="6"/>
    </row>
    <row r="54" spans="17:28" x14ac:dyDescent="0.2">
      <c r="Q54" s="20" t="s">
        <v>128</v>
      </c>
      <c r="R54" s="20">
        <f>(D5*(R52/2))+R52*((D5-1)*(D5)/2)</f>
        <v>0.7128000000000001</v>
      </c>
      <c r="S54" s="19"/>
      <c r="T54" s="6"/>
      <c r="V54" s="3">
        <f>(D5-1)*R52+R52/2</f>
        <v>5.8162500000000006E-2</v>
      </c>
      <c r="W54" s="23"/>
      <c r="X54" s="4"/>
    </row>
    <row r="55" spans="17:28" x14ac:dyDescent="0.2">
      <c r="Q55" s="5"/>
      <c r="R55" s="19"/>
      <c r="S55" s="19"/>
      <c r="T55" s="6"/>
      <c r="V55" s="19"/>
      <c r="W55" s="19"/>
      <c r="X55" s="6"/>
    </row>
    <row r="56" spans="17:28" x14ac:dyDescent="0.2">
      <c r="Q56" s="21" t="s">
        <v>137</v>
      </c>
      <c r="R56" s="7" t="s">
        <v>77</v>
      </c>
      <c r="S56" s="20" t="s">
        <v>82</v>
      </c>
      <c r="T56" s="6"/>
      <c r="V56" s="20" t="s">
        <v>77</v>
      </c>
      <c r="W56" s="20" t="s">
        <v>82</v>
      </c>
      <c r="X56" s="6"/>
    </row>
    <row r="57" spans="17:28" x14ac:dyDescent="0.2">
      <c r="Q57" s="5" t="s">
        <v>71</v>
      </c>
      <c r="R57" s="19">
        <v>0</v>
      </c>
      <c r="S57" s="19">
        <v>0</v>
      </c>
      <c r="T57" s="6"/>
      <c r="V57" s="19">
        <v>0</v>
      </c>
      <c r="W57" s="19">
        <v>0</v>
      </c>
      <c r="X57" s="6"/>
    </row>
    <row r="58" spans="17:28" x14ac:dyDescent="0.2">
      <c r="Q58" s="5" t="s">
        <v>72</v>
      </c>
      <c r="R58" s="19">
        <f>IF(R54&lt;=25*D5,0,(R54-25*D5)*S58)</f>
        <v>0</v>
      </c>
      <c r="S58" s="19">
        <v>0.25</v>
      </c>
      <c r="T58" s="6"/>
      <c r="V58" s="19">
        <f>IF(V54&lt;=25*D5,0,(V54-25*D5)*W58)</f>
        <v>0</v>
      </c>
      <c r="W58" s="19">
        <v>0.25</v>
      </c>
      <c r="X58" s="6"/>
    </row>
    <row r="59" spans="17:28" x14ac:dyDescent="0.2">
      <c r="Q59" s="3" t="s">
        <v>13</v>
      </c>
      <c r="R59" s="20"/>
      <c r="S59" s="20"/>
      <c r="T59" s="3">
        <f>R58</f>
        <v>0</v>
      </c>
      <c r="V59" s="20"/>
      <c r="W59" s="20"/>
      <c r="X59" s="3">
        <f>V58</f>
        <v>0</v>
      </c>
    </row>
    <row r="60" spans="17:28" x14ac:dyDescent="0.2">
      <c r="Q60" s="5"/>
      <c r="R60" s="19"/>
      <c r="S60" s="19"/>
      <c r="T60" s="6"/>
    </row>
    <row r="61" spans="17:28" x14ac:dyDescent="0.2">
      <c r="Q61" s="21" t="s">
        <v>138</v>
      </c>
      <c r="R61" s="7" t="s">
        <v>77</v>
      </c>
      <c r="S61" s="20" t="s">
        <v>82</v>
      </c>
      <c r="T61" s="6"/>
    </row>
    <row r="62" spans="17:28" x14ac:dyDescent="0.2">
      <c r="Q62" s="19" t="s">
        <v>71</v>
      </c>
      <c r="R62" s="19">
        <v>0</v>
      </c>
      <c r="S62" s="6">
        <v>0</v>
      </c>
      <c r="T62" s="6"/>
    </row>
    <row r="63" spans="17:28" x14ac:dyDescent="0.2">
      <c r="Q63" s="19" t="s">
        <v>72</v>
      </c>
      <c r="R63" s="19">
        <f>IF(R53&lt;=25,0,(R53-25)*S63)</f>
        <v>0</v>
      </c>
      <c r="S63" s="6">
        <v>0.25</v>
      </c>
      <c r="T63" s="6"/>
    </row>
    <row r="64" spans="17:28" x14ac:dyDescent="0.2">
      <c r="Q64" s="3" t="s">
        <v>13</v>
      </c>
      <c r="R64" s="20"/>
      <c r="S64" s="7"/>
      <c r="T64" s="8">
        <f>R63</f>
        <v>0</v>
      </c>
      <c r="X64" s="3">
        <f>T64/D5</f>
        <v>0</v>
      </c>
    </row>
    <row r="66" spans="17:24" x14ac:dyDescent="0.2">
      <c r="Q66" s="18" t="s">
        <v>45</v>
      </c>
      <c r="R66" s="23"/>
      <c r="S66" s="23"/>
      <c r="T66" s="23"/>
    </row>
    <row r="67" spans="17:24" x14ac:dyDescent="0.2">
      <c r="Q67" s="5" t="s">
        <v>95</v>
      </c>
      <c r="R67" s="5">
        <f>SUMPRODUCT(H14:H18,J14:J18)/1000000000</f>
        <v>0.17311968</v>
      </c>
      <c r="S67" s="19">
        <f>R67*1000</f>
        <v>173.11967999999999</v>
      </c>
      <c r="T67" s="19"/>
    </row>
    <row r="68" spans="17:24" x14ac:dyDescent="0.2">
      <c r="Q68" s="46" t="s">
        <v>96</v>
      </c>
      <c r="R68" s="46">
        <f>R67+((H19*J19)/1000000000)</f>
        <v>0.38911967999999997</v>
      </c>
      <c r="S68" s="20">
        <f>R68*1000</f>
        <v>389.11967999999996</v>
      </c>
      <c r="T68" s="19"/>
    </row>
    <row r="69" spans="17:24" x14ac:dyDescent="0.2">
      <c r="Q69" s="21"/>
      <c r="R69" s="19"/>
      <c r="S69" s="19"/>
      <c r="T69" s="19"/>
    </row>
    <row r="70" spans="17:24" x14ac:dyDescent="0.2">
      <c r="Q70" s="22" t="s">
        <v>58</v>
      </c>
      <c r="R70" s="20" t="s">
        <v>77</v>
      </c>
      <c r="S70" s="20" t="s">
        <v>82</v>
      </c>
      <c r="T70" s="19"/>
    </row>
    <row r="71" spans="17:24" x14ac:dyDescent="0.2">
      <c r="Q71" s="19" t="s">
        <v>46</v>
      </c>
      <c r="R71" s="19">
        <f>IF(R68&lt;=10*D5,S71*S68,10000*D5*S71)</f>
        <v>35.020771199999992</v>
      </c>
      <c r="S71" s="19">
        <v>0.09</v>
      </c>
      <c r="T71" s="19"/>
    </row>
    <row r="72" spans="17:24" x14ac:dyDescent="0.2">
      <c r="Q72" s="19" t="s">
        <v>47</v>
      </c>
      <c r="R72" s="19">
        <f>IF(R68-10*D5&lt;=40*D5,MAX(0,(S68-10000*D5)*S72),40000*D5*S72)</f>
        <v>0</v>
      </c>
      <c r="S72" s="19">
        <v>8.5000000000000006E-2</v>
      </c>
      <c r="T72" s="19"/>
    </row>
    <row r="73" spans="17:24" x14ac:dyDescent="0.2">
      <c r="Q73" s="19" t="s">
        <v>48</v>
      </c>
      <c r="R73" s="19">
        <f>IF(R68-50*D5&lt;=100*D5,MAX(0,(S68-50000*D5)*S73),100000*D5*S73)</f>
        <v>0</v>
      </c>
      <c r="S73" s="19">
        <v>7.0000000000000007E-2</v>
      </c>
      <c r="T73" s="19"/>
    </row>
    <row r="74" spans="17:24" x14ac:dyDescent="0.2">
      <c r="Q74" s="19" t="s">
        <v>49</v>
      </c>
      <c r="R74" s="19">
        <f>IF(R68-150*D5&gt;0,(S68-150000*D5)*S74,0)</f>
        <v>0</v>
      </c>
      <c r="S74" s="19">
        <v>0.05</v>
      </c>
      <c r="T74" s="20"/>
    </row>
    <row r="75" spans="17:24" x14ac:dyDescent="0.2">
      <c r="Q75" s="3" t="s">
        <v>13</v>
      </c>
      <c r="R75" s="20"/>
      <c r="S75" s="20"/>
      <c r="T75" s="8">
        <f>SUM(R71:R74)</f>
        <v>35.020771199999992</v>
      </c>
      <c r="X75" s="3">
        <f>T75/D5</f>
        <v>1.4591987999999996</v>
      </c>
    </row>
    <row r="76" spans="17:24" x14ac:dyDescent="0.2">
      <c r="Q76" s="19"/>
      <c r="R76" s="19"/>
      <c r="S76" s="19"/>
      <c r="T76" s="6"/>
    </row>
    <row r="77" spans="17:24" x14ac:dyDescent="0.2">
      <c r="Q77" s="22" t="s">
        <v>60</v>
      </c>
      <c r="R77" s="20" t="s">
        <v>77</v>
      </c>
      <c r="S77" s="20" t="s">
        <v>82</v>
      </c>
      <c r="T77" s="6"/>
    </row>
    <row r="78" spans="17:24" x14ac:dyDescent="0.2">
      <c r="Q78" s="19" t="s">
        <v>63</v>
      </c>
      <c r="R78" s="19">
        <v>0</v>
      </c>
      <c r="S78" s="19">
        <v>0</v>
      </c>
      <c r="T78" s="6"/>
    </row>
    <row r="79" spans="17:24" x14ac:dyDescent="0.2">
      <c r="Q79" s="19" t="s">
        <v>61</v>
      </c>
      <c r="R79" s="19">
        <f>IF(R67&lt;=10*D5,MAX(0,S67-1*D5)*S79,9999*D5*S79)</f>
        <v>13.420771199999999</v>
      </c>
      <c r="S79" s="19">
        <v>0.09</v>
      </c>
      <c r="T79" s="6"/>
    </row>
    <row r="80" spans="17:24" x14ac:dyDescent="0.2">
      <c r="Q80" s="19" t="s">
        <v>47</v>
      </c>
      <c r="R80" s="19">
        <f>IF(R67-10*D5&lt;=40*D5,MAX(0,(S67-10000*D5)*S80),40000*D5*S80)</f>
        <v>0</v>
      </c>
      <c r="S80" s="19">
        <v>8.5000000000000006E-2</v>
      </c>
      <c r="T80" s="6"/>
    </row>
    <row r="81" spans="17:24" x14ac:dyDescent="0.2">
      <c r="Q81" s="19" t="s">
        <v>48</v>
      </c>
      <c r="R81" s="19">
        <f>IF(R67-50*D5&lt;=100*D5,MAX(0,(S67-50000*D5)*S81),100000*D5*S81)</f>
        <v>0</v>
      </c>
      <c r="S81" s="19">
        <v>7.0000000000000007E-2</v>
      </c>
      <c r="T81" s="6"/>
    </row>
    <row r="82" spans="17:24" x14ac:dyDescent="0.2">
      <c r="Q82" s="19" t="s">
        <v>62</v>
      </c>
      <c r="R82" s="19">
        <f>IF(R67-150*D5&gt;0,(S67-150000*D5)*S82,0)</f>
        <v>0</v>
      </c>
      <c r="S82" s="19">
        <v>0.05</v>
      </c>
      <c r="T82" s="6"/>
    </row>
    <row r="83" spans="17:24" x14ac:dyDescent="0.2">
      <c r="Q83" s="3" t="s">
        <v>13</v>
      </c>
      <c r="R83" s="20"/>
      <c r="S83" s="20"/>
      <c r="T83" s="8">
        <f>SUM(R79:R82)</f>
        <v>13.420771199999999</v>
      </c>
      <c r="X83" s="3">
        <f>T83/D5</f>
        <v>0.5591988</v>
      </c>
    </row>
    <row r="85" spans="17:24" x14ac:dyDescent="0.2">
      <c r="Q85" s="24" t="str">
        <f>"TOTAL"</f>
        <v>TOTAL</v>
      </c>
      <c r="R85" s="17"/>
      <c r="S85" s="17"/>
      <c r="T85" s="24">
        <f>SUM(T9:T83)</f>
        <v>79.762956685714286</v>
      </c>
      <c r="X85" s="24">
        <f>SUM(X3:X83)</f>
        <v>3.6756190285714281</v>
      </c>
    </row>
    <row r="86" spans="17:24" x14ac:dyDescent="0.2">
      <c r="Q86" s="48"/>
      <c r="R86" s="48"/>
      <c r="S86" s="49"/>
      <c r="T86" s="48"/>
    </row>
    <row r="87" spans="17:24" x14ac:dyDescent="0.2">
      <c r="Q87" s="48"/>
      <c r="R87" s="48"/>
      <c r="S87" s="48"/>
      <c r="T87" s="48"/>
    </row>
    <row r="88" spans="17:24" x14ac:dyDescent="0.2">
      <c r="Q88" s="50"/>
      <c r="R88" s="48"/>
      <c r="S88" s="48"/>
      <c r="T88" s="50"/>
    </row>
    <row r="89" spans="17:24" x14ac:dyDescent="0.2">
      <c r="R89" s="47"/>
      <c r="S89" s="47"/>
      <c r="T89" s="47"/>
    </row>
  </sheetData>
  <mergeCells count="11">
    <mergeCell ref="G3:G4"/>
    <mergeCell ref="I3:I4"/>
    <mergeCell ref="G12:G13"/>
    <mergeCell ref="I12:I13"/>
    <mergeCell ref="J12:J13"/>
    <mergeCell ref="O12:O13"/>
    <mergeCell ref="K12:K13"/>
    <mergeCell ref="L12:L13"/>
    <mergeCell ref="J3:J4"/>
    <mergeCell ref="H3:H4"/>
    <mergeCell ref="K3:K4"/>
  </mergeCells>
  <pageMargins left="0.7" right="0.7" top="0.75" bottom="0.75" header="0.3" footer="0.3"/>
  <pageSetup paperSize="9" orientation="portrait" horizontalDpi="0" verticalDpi="0"/>
  <ignoredErrors>
    <ignoredError sqref="J17 S37" formula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"/>
  <sheetViews>
    <sheetView workbookViewId="0">
      <selection activeCell="C3" sqref="C3:O19"/>
    </sheetView>
  </sheetViews>
  <sheetFormatPr baseColWidth="10" defaultRowHeight="16" x14ac:dyDescent="0.2"/>
  <cols>
    <col min="3" max="3" width="22" customWidth="1"/>
    <col min="4" max="4" width="11.5" customWidth="1"/>
    <col min="5" max="5" width="12.3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Navez</dc:creator>
  <cp:lastModifiedBy>Jérôme Navez</cp:lastModifiedBy>
  <dcterms:created xsi:type="dcterms:W3CDTF">2018-05-10T15:05:35Z</dcterms:created>
  <dcterms:modified xsi:type="dcterms:W3CDTF">2018-06-08T15:33:20Z</dcterms:modified>
</cp:coreProperties>
</file>