
<file path=[Content_Types].xml><?xml version="1.0" encoding="utf-8"?>
<Types xmlns="http://schemas.openxmlformats.org/package/2006/content-types"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4.xml" ContentType="application/vnd.openxmlformats-officedocument.spreadsheetml.worksheet+xml"/>
  <Default Extension="xml" ContentType="application/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8.xml" ContentType="application/vnd.openxmlformats-officedocument.spreadsheetml.worksheet+xml"/>
  <Override PartName="/xl/calcChain.xml" ContentType="application/vnd.openxmlformats-officedocument.spreadsheetml.calcChain+xml"/>
  <Override PartName="/xl/styles.xml" ContentType="application/vnd.openxmlformats-officedocument.spreadsheetml.styles+xml"/>
  <Default Extension="jpeg" ContentType="image/jpeg"/>
  <Override PartName="/xl/worksheets/sheet3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60" yWindow="-80" windowWidth="21600" windowHeight="14140" tabRatio="758" firstSheet="1" activeTab="2"/>
  </bookViews>
  <sheets>
    <sheet name="Privé" sheetId="1" r:id="rId1"/>
    <sheet name="Société" sheetId="2" r:id="rId2"/>
    <sheet name="km-an" sheetId="3" r:id="rId3"/>
    <sheet name="an-valeur revente" sheetId="4" r:id="rId4"/>
    <sheet name="km-an BonusMalus" sheetId="5" r:id="rId5"/>
    <sheet name="km-an TMC" sheetId="6" r:id="rId6"/>
    <sheet name="km-an TC" sheetId="7" r:id="rId7"/>
    <sheet name="km-an accises" sheetId="8" r:id="rId8"/>
    <sheet name="km-an taxe" sheetId="9" r:id="rId9"/>
    <sheet name="Résumé" sheetId="10" r:id="rId10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G22" i="4"/>
  <c r="N25"/>
  <c r="N22"/>
  <c r="N52"/>
  <c r="N49"/>
  <c r="G52"/>
  <c r="G49"/>
  <c r="G25"/>
  <c r="J48"/>
  <c r="J49"/>
  <c r="J31"/>
  <c r="J32"/>
  <c r="J33"/>
  <c r="J34"/>
  <c r="J51"/>
  <c r="J52"/>
  <c r="L31"/>
  <c r="L32"/>
  <c r="L33"/>
  <c r="L34"/>
  <c r="M34"/>
  <c r="N34"/>
  <c r="J21"/>
  <c r="J22"/>
  <c r="J4"/>
  <c r="J5"/>
  <c r="J6"/>
  <c r="J7"/>
  <c r="J24"/>
  <c r="J25"/>
  <c r="L4"/>
  <c r="L5"/>
  <c r="L6"/>
  <c r="L7"/>
  <c r="M7"/>
  <c r="N7"/>
  <c r="C21"/>
  <c r="C22"/>
  <c r="C4"/>
  <c r="C5"/>
  <c r="C6"/>
  <c r="C7"/>
  <c r="C24"/>
  <c r="C25"/>
  <c r="E4"/>
  <c r="E5"/>
  <c r="E6"/>
  <c r="E7"/>
  <c r="F7"/>
  <c r="G7"/>
  <c r="C8"/>
  <c r="C9"/>
  <c r="C10"/>
  <c r="C11"/>
  <c r="E8"/>
  <c r="E9"/>
  <c r="E10"/>
  <c r="E11"/>
  <c r="F11"/>
  <c r="C12"/>
  <c r="C13"/>
  <c r="C14"/>
  <c r="E12"/>
  <c r="E13"/>
  <c r="E14"/>
  <c r="F14"/>
  <c r="E15"/>
  <c r="E16"/>
  <c r="E17"/>
  <c r="E18"/>
  <c r="E19"/>
  <c r="F19"/>
  <c r="M5"/>
  <c r="M6"/>
  <c r="J8"/>
  <c r="L8"/>
  <c r="M8"/>
  <c r="J9"/>
  <c r="L9"/>
  <c r="M9"/>
  <c r="J10"/>
  <c r="L10"/>
  <c r="M10"/>
  <c r="J11"/>
  <c r="L11"/>
  <c r="M11"/>
  <c r="J12"/>
  <c r="L12"/>
  <c r="M12"/>
  <c r="J13"/>
  <c r="L13"/>
  <c r="M13"/>
  <c r="J14"/>
  <c r="L14"/>
  <c r="M14"/>
  <c r="J15"/>
  <c r="L15"/>
  <c r="M15"/>
  <c r="J16"/>
  <c r="L16"/>
  <c r="M16"/>
  <c r="J17"/>
  <c r="L17"/>
  <c r="M17"/>
  <c r="J18"/>
  <c r="L18"/>
  <c r="M18"/>
  <c r="L19"/>
  <c r="M19"/>
  <c r="M4"/>
  <c r="C48"/>
  <c r="C49"/>
  <c r="C51"/>
  <c r="C52"/>
  <c r="C31"/>
  <c r="C32"/>
  <c r="E31"/>
  <c r="E32"/>
  <c r="F32"/>
  <c r="C33"/>
  <c r="E33"/>
  <c r="F33"/>
  <c r="C34"/>
  <c r="E34"/>
  <c r="F34"/>
  <c r="C35"/>
  <c r="E35"/>
  <c r="F35"/>
  <c r="C36"/>
  <c r="E36"/>
  <c r="F36"/>
  <c r="C37"/>
  <c r="E37"/>
  <c r="F37"/>
  <c r="C38"/>
  <c r="E38"/>
  <c r="F38"/>
  <c r="C39"/>
  <c r="E39"/>
  <c r="F39"/>
  <c r="C40"/>
  <c r="E40"/>
  <c r="F40"/>
  <c r="C41"/>
  <c r="E41"/>
  <c r="F41"/>
  <c r="C42"/>
  <c r="E42"/>
  <c r="F42"/>
  <c r="C43"/>
  <c r="E43"/>
  <c r="F43"/>
  <c r="C44"/>
  <c r="E44"/>
  <c r="F44"/>
  <c r="C45"/>
  <c r="E45"/>
  <c r="F45"/>
  <c r="E46"/>
  <c r="C46"/>
  <c r="F46"/>
  <c r="F31"/>
  <c r="M32"/>
  <c r="M33"/>
  <c r="J35"/>
  <c r="L35"/>
  <c r="M35"/>
  <c r="J36"/>
  <c r="L36"/>
  <c r="M36"/>
  <c r="J37"/>
  <c r="L37"/>
  <c r="M37"/>
  <c r="J38"/>
  <c r="L38"/>
  <c r="M38"/>
  <c r="J39"/>
  <c r="L39"/>
  <c r="M39"/>
  <c r="J40"/>
  <c r="L40"/>
  <c r="M40"/>
  <c r="J41"/>
  <c r="L41"/>
  <c r="M41"/>
  <c r="J42"/>
  <c r="L42"/>
  <c r="M42"/>
  <c r="J43"/>
  <c r="L43"/>
  <c r="M43"/>
  <c r="J44"/>
  <c r="L44"/>
  <c r="M44"/>
  <c r="J45"/>
  <c r="L45"/>
  <c r="M45"/>
  <c r="L46"/>
  <c r="J46"/>
  <c r="M46"/>
  <c r="M31"/>
  <c r="F5"/>
  <c r="F6"/>
  <c r="F8"/>
  <c r="F9"/>
  <c r="F10"/>
  <c r="F4"/>
  <c r="C15"/>
  <c r="C16"/>
  <c r="C17"/>
  <c r="C18"/>
  <c r="F18"/>
  <c r="F17"/>
  <c r="F16"/>
  <c r="F15"/>
  <c r="F13"/>
  <c r="F12"/>
  <c r="B98" i="3"/>
  <c r="J95"/>
  <c r="K95"/>
  <c r="L95"/>
  <c r="M95"/>
  <c r="N95"/>
  <c r="B99"/>
  <c r="J96"/>
  <c r="K96"/>
  <c r="L96"/>
  <c r="M96"/>
  <c r="N96"/>
  <c r="B100"/>
  <c r="J97"/>
  <c r="K97"/>
  <c r="L97"/>
  <c r="M97"/>
  <c r="N97"/>
  <c r="B101"/>
  <c r="J98"/>
  <c r="K98"/>
  <c r="L98"/>
  <c r="M98"/>
  <c r="N98"/>
  <c r="B102"/>
  <c r="J99"/>
  <c r="K99"/>
  <c r="L99"/>
  <c r="M99"/>
  <c r="N99"/>
  <c r="B103"/>
  <c r="J100"/>
  <c r="K100"/>
  <c r="L100"/>
  <c r="M100"/>
  <c r="N100"/>
  <c r="B104"/>
  <c r="J101"/>
  <c r="K101"/>
  <c r="L101"/>
  <c r="M101"/>
  <c r="N101"/>
  <c r="B105"/>
  <c r="J102"/>
  <c r="K102"/>
  <c r="L102"/>
  <c r="M102"/>
  <c r="N102"/>
  <c r="E98"/>
  <c r="J103"/>
  <c r="K103"/>
  <c r="L103"/>
  <c r="M103"/>
  <c r="N103"/>
  <c r="E99"/>
  <c r="J104"/>
  <c r="K104"/>
  <c r="L104"/>
  <c r="M104"/>
  <c r="N104"/>
  <c r="E100"/>
  <c r="J105"/>
  <c r="K105"/>
  <c r="L105"/>
  <c r="M105"/>
  <c r="N105"/>
  <c r="E101"/>
  <c r="J106"/>
  <c r="K106"/>
  <c r="L106"/>
  <c r="M106"/>
  <c r="N106"/>
  <c r="I104"/>
  <c r="I105"/>
  <c r="I106"/>
  <c r="I103"/>
  <c r="I96"/>
  <c r="I97"/>
  <c r="I98"/>
  <c r="I99"/>
  <c r="I100"/>
  <c r="I101"/>
  <c r="I102"/>
  <c r="I95"/>
  <c r="J78"/>
  <c r="K78"/>
  <c r="L78"/>
  <c r="M78"/>
  <c r="N78"/>
  <c r="J79"/>
  <c r="K79"/>
  <c r="L79"/>
  <c r="M79"/>
  <c r="N79"/>
  <c r="J80"/>
  <c r="K80"/>
  <c r="L80"/>
  <c r="M80"/>
  <c r="N80"/>
  <c r="J81"/>
  <c r="K81"/>
  <c r="L81"/>
  <c r="M81"/>
  <c r="N81"/>
  <c r="J82"/>
  <c r="K82"/>
  <c r="L82"/>
  <c r="M82"/>
  <c r="N82"/>
  <c r="J83"/>
  <c r="K83"/>
  <c r="L83"/>
  <c r="M83"/>
  <c r="N83"/>
  <c r="J84"/>
  <c r="K84"/>
  <c r="L84"/>
  <c r="M84"/>
  <c r="N84"/>
  <c r="J85"/>
  <c r="K85"/>
  <c r="L85"/>
  <c r="M85"/>
  <c r="N85"/>
  <c r="J86"/>
  <c r="K86"/>
  <c r="L86"/>
  <c r="M86"/>
  <c r="N86"/>
  <c r="J87"/>
  <c r="K87"/>
  <c r="L87"/>
  <c r="M87"/>
  <c r="N87"/>
  <c r="J88"/>
  <c r="K88"/>
  <c r="L88"/>
  <c r="M88"/>
  <c r="N88"/>
  <c r="J89"/>
  <c r="K89"/>
  <c r="L89"/>
  <c r="M89"/>
  <c r="N89"/>
  <c r="E102"/>
  <c r="J90"/>
  <c r="K90"/>
  <c r="L90"/>
  <c r="M90"/>
  <c r="N90"/>
  <c r="E103"/>
  <c r="J91"/>
  <c r="K91"/>
  <c r="L91"/>
  <c r="M91"/>
  <c r="N91"/>
  <c r="E104"/>
  <c r="J92"/>
  <c r="K92"/>
  <c r="L92"/>
  <c r="M92"/>
  <c r="N92"/>
  <c r="E105"/>
  <c r="J93"/>
  <c r="K93"/>
  <c r="L93"/>
  <c r="M93"/>
  <c r="N93"/>
  <c r="I87"/>
  <c r="I88"/>
  <c r="I89"/>
  <c r="I90"/>
  <c r="I91"/>
  <c r="I92"/>
  <c r="I93"/>
  <c r="I86"/>
  <c r="I79"/>
  <c r="I80"/>
  <c r="I81"/>
  <c r="I82"/>
  <c r="I83"/>
  <c r="I84"/>
  <c r="I85"/>
  <c r="I78"/>
  <c r="N72"/>
  <c r="J57"/>
  <c r="K57"/>
  <c r="L57"/>
  <c r="M57"/>
  <c r="N57"/>
  <c r="J58"/>
  <c r="K58"/>
  <c r="L58"/>
  <c r="M58"/>
  <c r="N58"/>
  <c r="J59"/>
  <c r="K59"/>
  <c r="L59"/>
  <c r="M59"/>
  <c r="N59"/>
  <c r="J60"/>
  <c r="K60"/>
  <c r="L60"/>
  <c r="M60"/>
  <c r="N60"/>
  <c r="J61"/>
  <c r="K61"/>
  <c r="L61"/>
  <c r="M61"/>
  <c r="N61"/>
  <c r="J62"/>
  <c r="K62"/>
  <c r="L62"/>
  <c r="M62"/>
  <c r="N62"/>
  <c r="J63"/>
  <c r="K63"/>
  <c r="L63"/>
  <c r="M63"/>
  <c r="N63"/>
  <c r="J64"/>
  <c r="K64"/>
  <c r="L64"/>
  <c r="M64"/>
  <c r="N64"/>
  <c r="J65"/>
  <c r="K65"/>
  <c r="L65"/>
  <c r="M65"/>
  <c r="N65"/>
  <c r="J66"/>
  <c r="K66"/>
  <c r="L66"/>
  <c r="M66"/>
  <c r="N66"/>
  <c r="J67"/>
  <c r="K67"/>
  <c r="L67"/>
  <c r="M67"/>
  <c r="N67"/>
  <c r="J68"/>
  <c r="K68"/>
  <c r="L68"/>
  <c r="M68"/>
  <c r="N68"/>
  <c r="J69"/>
  <c r="K69"/>
  <c r="L69"/>
  <c r="M69"/>
  <c r="N69"/>
  <c r="J70"/>
  <c r="K70"/>
  <c r="L70"/>
  <c r="M70"/>
  <c r="N70"/>
  <c r="J71"/>
  <c r="K71"/>
  <c r="L71"/>
  <c r="M71"/>
  <c r="N71"/>
  <c r="J72"/>
  <c r="K72"/>
  <c r="L72"/>
  <c r="M72"/>
  <c r="I66"/>
  <c r="I67"/>
  <c r="I68"/>
  <c r="I69"/>
  <c r="I70"/>
  <c r="I71"/>
  <c r="I72"/>
  <c r="I65"/>
  <c r="I58"/>
  <c r="I59"/>
  <c r="I60"/>
  <c r="I61"/>
  <c r="I62"/>
  <c r="I63"/>
  <c r="I64"/>
  <c r="G66"/>
  <c r="G67"/>
  <c r="G68"/>
  <c r="G69"/>
  <c r="G70"/>
  <c r="G71"/>
  <c r="G72"/>
  <c r="G65"/>
  <c r="G58"/>
  <c r="G59"/>
  <c r="G60"/>
  <c r="G61"/>
  <c r="G62"/>
  <c r="G63"/>
  <c r="G64"/>
  <c r="G57"/>
  <c r="F66"/>
  <c r="F67"/>
  <c r="F68"/>
  <c r="F69"/>
  <c r="F70"/>
  <c r="F71"/>
  <c r="F72"/>
  <c r="F65"/>
  <c r="F58"/>
  <c r="F59"/>
  <c r="F60"/>
  <c r="F61"/>
  <c r="F62"/>
  <c r="F63"/>
  <c r="F64"/>
  <c r="F57"/>
  <c r="E66"/>
  <c r="E67"/>
  <c r="E68"/>
  <c r="E69"/>
  <c r="E70"/>
  <c r="E71"/>
  <c r="E72"/>
  <c r="E65"/>
  <c r="E58"/>
  <c r="E59"/>
  <c r="E60"/>
  <c r="E61"/>
  <c r="E62"/>
  <c r="E63"/>
  <c r="E64"/>
  <c r="E57"/>
  <c r="D57"/>
  <c r="D70"/>
  <c r="D71"/>
  <c r="D72"/>
  <c r="D69"/>
  <c r="D58"/>
  <c r="D59"/>
  <c r="D60"/>
  <c r="D61"/>
  <c r="D62"/>
  <c r="D63"/>
  <c r="D64"/>
  <c r="D65"/>
  <c r="D66"/>
  <c r="D67"/>
  <c r="D68"/>
  <c r="C72"/>
  <c r="C70"/>
  <c r="C71"/>
  <c r="C69"/>
  <c r="C58"/>
  <c r="C59"/>
  <c r="C60"/>
  <c r="C61"/>
  <c r="C62"/>
  <c r="C63"/>
  <c r="C64"/>
  <c r="C65"/>
  <c r="C66"/>
  <c r="C67"/>
  <c r="C68"/>
  <c r="C57"/>
  <c r="B70"/>
  <c r="B71"/>
  <c r="B69"/>
  <c r="B58"/>
  <c r="B59"/>
  <c r="B60"/>
  <c r="B61"/>
  <c r="B62"/>
  <c r="B63"/>
  <c r="B64"/>
  <c r="B65"/>
  <c r="B66"/>
  <c r="B67"/>
  <c r="B68"/>
  <c r="B57"/>
  <c r="I62" i="8"/>
  <c r="F102"/>
  <c r="I55"/>
  <c r="C95"/>
  <c r="D95"/>
  <c r="E95"/>
  <c r="F95"/>
  <c r="I56"/>
  <c r="C96"/>
  <c r="D96"/>
  <c r="E96"/>
  <c r="F96"/>
  <c r="I57"/>
  <c r="C97"/>
  <c r="D97"/>
  <c r="E97"/>
  <c r="F97"/>
  <c r="I58"/>
  <c r="C98"/>
  <c r="D98"/>
  <c r="E98"/>
  <c r="F98"/>
  <c r="I59"/>
  <c r="C99"/>
  <c r="D99"/>
  <c r="E99"/>
  <c r="F99"/>
  <c r="I60"/>
  <c r="C100"/>
  <c r="D100"/>
  <c r="E100"/>
  <c r="F100"/>
  <c r="I61"/>
  <c r="C101"/>
  <c r="D101"/>
  <c r="E101"/>
  <c r="F101"/>
  <c r="C102"/>
  <c r="D102"/>
  <c r="E102"/>
  <c r="B96"/>
  <c r="B97"/>
  <c r="B98"/>
  <c r="B99"/>
  <c r="B100"/>
  <c r="B101"/>
  <c r="B102"/>
  <c r="B95"/>
  <c r="C85"/>
  <c r="D85"/>
  <c r="E85"/>
  <c r="F85"/>
  <c r="C86"/>
  <c r="D86"/>
  <c r="E86"/>
  <c r="F86"/>
  <c r="C87"/>
  <c r="D87"/>
  <c r="E87"/>
  <c r="F87"/>
  <c r="C88"/>
  <c r="D88"/>
  <c r="E88"/>
  <c r="F88"/>
  <c r="C89"/>
  <c r="D89"/>
  <c r="E89"/>
  <c r="F89"/>
  <c r="C90"/>
  <c r="D90"/>
  <c r="E90"/>
  <c r="F90"/>
  <c r="C91"/>
  <c r="D91"/>
  <c r="E91"/>
  <c r="F91"/>
  <c r="C92"/>
  <c r="D92"/>
  <c r="E92"/>
  <c r="F92"/>
  <c r="B86"/>
  <c r="B87"/>
  <c r="B88"/>
  <c r="B89"/>
  <c r="B90"/>
  <c r="B91"/>
  <c r="B92"/>
  <c r="B85"/>
  <c r="C75"/>
  <c r="D75"/>
  <c r="E75"/>
  <c r="F75"/>
  <c r="C76"/>
  <c r="D76"/>
  <c r="E76"/>
  <c r="F76"/>
  <c r="C77"/>
  <c r="D77"/>
  <c r="E77"/>
  <c r="F77"/>
  <c r="C78"/>
  <c r="D78"/>
  <c r="E78"/>
  <c r="F78"/>
  <c r="C79"/>
  <c r="D79"/>
  <c r="E79"/>
  <c r="F79"/>
  <c r="C80"/>
  <c r="D80"/>
  <c r="E80"/>
  <c r="F80"/>
  <c r="C81"/>
  <c r="D81"/>
  <c r="E81"/>
  <c r="F81"/>
  <c r="C82"/>
  <c r="D82"/>
  <c r="E82"/>
  <c r="F82"/>
  <c r="B76"/>
  <c r="B77"/>
  <c r="B78"/>
  <c r="B79"/>
  <c r="B80"/>
  <c r="B81"/>
  <c r="B82"/>
  <c r="C55"/>
  <c r="D55"/>
  <c r="E55"/>
  <c r="F55"/>
  <c r="C56"/>
  <c r="D56"/>
  <c r="E56"/>
  <c r="F56"/>
  <c r="C57"/>
  <c r="D57"/>
  <c r="E57"/>
  <c r="F57"/>
  <c r="C58"/>
  <c r="D58"/>
  <c r="E58"/>
  <c r="F58"/>
  <c r="C59"/>
  <c r="D59"/>
  <c r="E59"/>
  <c r="F59"/>
  <c r="C60"/>
  <c r="D60"/>
  <c r="E60"/>
  <c r="F60"/>
  <c r="C61"/>
  <c r="D61"/>
  <c r="E61"/>
  <c r="F61"/>
  <c r="C62"/>
  <c r="D62"/>
  <c r="E62"/>
  <c r="F62"/>
  <c r="B56"/>
  <c r="B57"/>
  <c r="B58"/>
  <c r="B59"/>
  <c r="B60"/>
  <c r="B61"/>
  <c r="B62"/>
  <c r="B55"/>
  <c r="I63" i="5"/>
  <c r="E103"/>
  <c r="F103"/>
  <c r="I56"/>
  <c r="C96"/>
  <c r="D96"/>
  <c r="E96"/>
  <c r="F96"/>
  <c r="I57"/>
  <c r="C97"/>
  <c r="D97"/>
  <c r="E97"/>
  <c r="F97"/>
  <c r="I58"/>
  <c r="C98"/>
  <c r="D98"/>
  <c r="E98"/>
  <c r="F98"/>
  <c r="I59"/>
  <c r="C99"/>
  <c r="D99"/>
  <c r="E99"/>
  <c r="F99"/>
  <c r="I60"/>
  <c r="C100"/>
  <c r="D100"/>
  <c r="E100"/>
  <c r="F100"/>
  <c r="I61"/>
  <c r="C101"/>
  <c r="D101"/>
  <c r="E101"/>
  <c r="F101"/>
  <c r="I62"/>
  <c r="C102"/>
  <c r="D102"/>
  <c r="E102"/>
  <c r="F102"/>
  <c r="C103"/>
  <c r="D103"/>
  <c r="B97"/>
  <c r="B98"/>
  <c r="B99"/>
  <c r="B100"/>
  <c r="B101"/>
  <c r="B102"/>
  <c r="B103"/>
  <c r="B96"/>
  <c r="C86"/>
  <c r="D86"/>
  <c r="E86"/>
  <c r="F86"/>
  <c r="C87"/>
  <c r="D87"/>
  <c r="E87"/>
  <c r="F87"/>
  <c r="C88"/>
  <c r="D88"/>
  <c r="E88"/>
  <c r="F88"/>
  <c r="C89"/>
  <c r="D89"/>
  <c r="E89"/>
  <c r="F89"/>
  <c r="C90"/>
  <c r="D90"/>
  <c r="E90"/>
  <c r="F90"/>
  <c r="C91"/>
  <c r="D91"/>
  <c r="E91"/>
  <c r="F91"/>
  <c r="C92"/>
  <c r="D92"/>
  <c r="E92"/>
  <c r="F92"/>
  <c r="C93"/>
  <c r="D93"/>
  <c r="E93"/>
  <c r="F93"/>
  <c r="B87"/>
  <c r="B88"/>
  <c r="B89"/>
  <c r="B90"/>
  <c r="B91"/>
  <c r="B92"/>
  <c r="B93"/>
  <c r="B86"/>
  <c r="F83"/>
  <c r="C76"/>
  <c r="D76"/>
  <c r="E76"/>
  <c r="F76"/>
  <c r="C77"/>
  <c r="D77"/>
  <c r="E77"/>
  <c r="F77"/>
  <c r="C78"/>
  <c r="D78"/>
  <c r="E78"/>
  <c r="F78"/>
  <c r="C79"/>
  <c r="D79"/>
  <c r="E79"/>
  <c r="F79"/>
  <c r="C80"/>
  <c r="D80"/>
  <c r="E80"/>
  <c r="F80"/>
  <c r="C81"/>
  <c r="D81"/>
  <c r="E81"/>
  <c r="F81"/>
  <c r="C82"/>
  <c r="D82"/>
  <c r="E82"/>
  <c r="F82"/>
  <c r="C83"/>
  <c r="D83"/>
  <c r="E83"/>
  <c r="B77"/>
  <c r="B78"/>
  <c r="B79"/>
  <c r="B80"/>
  <c r="B81"/>
  <c r="B82"/>
  <c r="B83"/>
  <c r="B76"/>
  <c r="E67"/>
  <c r="F67"/>
  <c r="D68"/>
  <c r="E68"/>
  <c r="F68"/>
  <c r="C69"/>
  <c r="D69"/>
  <c r="E69"/>
  <c r="F69"/>
  <c r="C70"/>
  <c r="D70"/>
  <c r="E70"/>
  <c r="F70"/>
  <c r="C71"/>
  <c r="D71"/>
  <c r="E71"/>
  <c r="F71"/>
  <c r="C72"/>
  <c r="D72"/>
  <c r="E72"/>
  <c r="F72"/>
  <c r="C73"/>
  <c r="D73"/>
  <c r="E73"/>
  <c r="F73"/>
  <c r="B70"/>
  <c r="B71"/>
  <c r="B72"/>
  <c r="B73"/>
  <c r="F63"/>
  <c r="C56"/>
  <c r="D56"/>
  <c r="E56"/>
  <c r="F56"/>
  <c r="C57"/>
  <c r="D57"/>
  <c r="E57"/>
  <c r="F57"/>
  <c r="C58"/>
  <c r="D58"/>
  <c r="E58"/>
  <c r="F58"/>
  <c r="C59"/>
  <c r="D59"/>
  <c r="E59"/>
  <c r="F59"/>
  <c r="C60"/>
  <c r="D60"/>
  <c r="E60"/>
  <c r="F60"/>
  <c r="C61"/>
  <c r="D61"/>
  <c r="E61"/>
  <c r="F61"/>
  <c r="C62"/>
  <c r="D62"/>
  <c r="E62"/>
  <c r="F62"/>
  <c r="C63"/>
  <c r="D63"/>
  <c r="E63"/>
  <c r="B57"/>
  <c r="B58"/>
  <c r="B59"/>
  <c r="B60"/>
  <c r="B61"/>
  <c r="B62"/>
  <c r="B63"/>
  <c r="B56"/>
  <c r="H63" i="9"/>
  <c r="F103"/>
  <c r="H56"/>
  <c r="B56"/>
  <c r="E103"/>
  <c r="D103"/>
  <c r="C103"/>
  <c r="B103"/>
  <c r="H62"/>
  <c r="F102"/>
  <c r="E102"/>
  <c r="D102"/>
  <c r="C102"/>
  <c r="B102"/>
  <c r="H61"/>
  <c r="F101"/>
  <c r="E101"/>
  <c r="D101"/>
  <c r="C101"/>
  <c r="B101"/>
  <c r="H60"/>
  <c r="F100"/>
  <c r="E100"/>
  <c r="D100"/>
  <c r="C100"/>
  <c r="B100"/>
  <c r="H59"/>
  <c r="F99"/>
  <c r="E99"/>
  <c r="D99"/>
  <c r="C99"/>
  <c r="B99"/>
  <c r="H58"/>
  <c r="F98"/>
  <c r="E98"/>
  <c r="D98"/>
  <c r="C98"/>
  <c r="B98"/>
  <c r="H57"/>
  <c r="F97"/>
  <c r="E97"/>
  <c r="D97"/>
  <c r="C97"/>
  <c r="B97"/>
  <c r="F96"/>
  <c r="E96"/>
  <c r="D96"/>
  <c r="C96"/>
  <c r="B96"/>
  <c r="F93"/>
  <c r="E93"/>
  <c r="D93"/>
  <c r="C93"/>
  <c r="B93"/>
  <c r="F92"/>
  <c r="E92"/>
  <c r="D92"/>
  <c r="C92"/>
  <c r="B92"/>
  <c r="F91"/>
  <c r="E91"/>
  <c r="D91"/>
  <c r="C91"/>
  <c r="B91"/>
  <c r="F90"/>
  <c r="E90"/>
  <c r="D90"/>
  <c r="C90"/>
  <c r="B90"/>
  <c r="F89"/>
  <c r="E89"/>
  <c r="D89"/>
  <c r="C89"/>
  <c r="B89"/>
  <c r="F88"/>
  <c r="E88"/>
  <c r="D88"/>
  <c r="C88"/>
  <c r="B88"/>
  <c r="F87"/>
  <c r="E87"/>
  <c r="D87"/>
  <c r="C87"/>
  <c r="B87"/>
  <c r="F86"/>
  <c r="E86"/>
  <c r="D86"/>
  <c r="C86"/>
  <c r="B86"/>
  <c r="F83"/>
  <c r="E83"/>
  <c r="D83"/>
  <c r="C83"/>
  <c r="B83"/>
  <c r="F82"/>
  <c r="E82"/>
  <c r="D82"/>
  <c r="C82"/>
  <c r="B82"/>
  <c r="F81"/>
  <c r="E81"/>
  <c r="D81"/>
  <c r="C81"/>
  <c r="B81"/>
  <c r="F80"/>
  <c r="E80"/>
  <c r="D80"/>
  <c r="C80"/>
  <c r="B80"/>
  <c r="F79"/>
  <c r="E79"/>
  <c r="D79"/>
  <c r="C79"/>
  <c r="B79"/>
  <c r="F78"/>
  <c r="E78"/>
  <c r="D78"/>
  <c r="C78"/>
  <c r="B78"/>
  <c r="F77"/>
  <c r="E77"/>
  <c r="D77"/>
  <c r="C77"/>
  <c r="B77"/>
  <c r="F76"/>
  <c r="E76"/>
  <c r="D76"/>
  <c r="C76"/>
  <c r="B76"/>
  <c r="F63"/>
  <c r="E63"/>
  <c r="D63"/>
  <c r="C63"/>
  <c r="B63"/>
  <c r="F62"/>
  <c r="E62"/>
  <c r="D62"/>
  <c r="C62"/>
  <c r="B62"/>
  <c r="F61"/>
  <c r="E61"/>
  <c r="D61"/>
  <c r="C61"/>
  <c r="B61"/>
  <c r="F60"/>
  <c r="E60"/>
  <c r="D60"/>
  <c r="C60"/>
  <c r="B60"/>
  <c r="F59"/>
  <c r="E59"/>
  <c r="D59"/>
  <c r="C59"/>
  <c r="B59"/>
  <c r="F58"/>
  <c r="E58"/>
  <c r="D58"/>
  <c r="C58"/>
  <c r="B58"/>
  <c r="F57"/>
  <c r="E57"/>
  <c r="D57"/>
  <c r="C57"/>
  <c r="B57"/>
  <c r="F56"/>
  <c r="E56"/>
  <c r="D56"/>
  <c r="C56"/>
  <c r="H56" i="7"/>
  <c r="C96"/>
  <c r="D96"/>
  <c r="E96"/>
  <c r="F96"/>
  <c r="H57"/>
  <c r="C97"/>
  <c r="D97"/>
  <c r="E97"/>
  <c r="F97"/>
  <c r="H58"/>
  <c r="C98"/>
  <c r="D98"/>
  <c r="E98"/>
  <c r="F98"/>
  <c r="H59"/>
  <c r="C99"/>
  <c r="D99"/>
  <c r="E99"/>
  <c r="F99"/>
  <c r="H60"/>
  <c r="C100"/>
  <c r="D100"/>
  <c r="E100"/>
  <c r="F100"/>
  <c r="H61"/>
  <c r="C101"/>
  <c r="D101"/>
  <c r="E101"/>
  <c r="F101"/>
  <c r="H62"/>
  <c r="C102"/>
  <c r="D102"/>
  <c r="E102"/>
  <c r="F102"/>
  <c r="H63"/>
  <c r="C103"/>
  <c r="D103"/>
  <c r="E103"/>
  <c r="F103"/>
  <c r="B97"/>
  <c r="B98"/>
  <c r="B99"/>
  <c r="B100"/>
  <c r="B101"/>
  <c r="B102"/>
  <c r="B103"/>
  <c r="B96"/>
  <c r="C86"/>
  <c r="D86"/>
  <c r="E86"/>
  <c r="F86"/>
  <c r="C87"/>
  <c r="D87"/>
  <c r="E87"/>
  <c r="F87"/>
  <c r="C88"/>
  <c r="D88"/>
  <c r="E88"/>
  <c r="F88"/>
  <c r="C89"/>
  <c r="D89"/>
  <c r="E89"/>
  <c r="F89"/>
  <c r="C90"/>
  <c r="D90"/>
  <c r="E90"/>
  <c r="F90"/>
  <c r="C91"/>
  <c r="D91"/>
  <c r="E91"/>
  <c r="F91"/>
  <c r="C92"/>
  <c r="D92"/>
  <c r="E92"/>
  <c r="F92"/>
  <c r="C93"/>
  <c r="D93"/>
  <c r="E93"/>
  <c r="F93"/>
  <c r="B87"/>
  <c r="B88"/>
  <c r="B89"/>
  <c r="B90"/>
  <c r="B91"/>
  <c r="B92"/>
  <c r="B93"/>
  <c r="B86"/>
  <c r="C76"/>
  <c r="D76"/>
  <c r="E76"/>
  <c r="F76"/>
  <c r="C77"/>
  <c r="D77"/>
  <c r="E77"/>
  <c r="F77"/>
  <c r="C78"/>
  <c r="D78"/>
  <c r="E78"/>
  <c r="F78"/>
  <c r="C79"/>
  <c r="D79"/>
  <c r="E79"/>
  <c r="F79"/>
  <c r="C80"/>
  <c r="D80"/>
  <c r="E80"/>
  <c r="F80"/>
  <c r="C81"/>
  <c r="D81"/>
  <c r="E81"/>
  <c r="F81"/>
  <c r="C82"/>
  <c r="D82"/>
  <c r="E82"/>
  <c r="F82"/>
  <c r="C83"/>
  <c r="D83"/>
  <c r="E83"/>
  <c r="F83"/>
  <c r="B77"/>
  <c r="B78"/>
  <c r="B79"/>
  <c r="B80"/>
  <c r="B81"/>
  <c r="B82"/>
  <c r="B83"/>
  <c r="B76"/>
  <c r="C56"/>
  <c r="D56"/>
  <c r="E56"/>
  <c r="F56"/>
  <c r="C57"/>
  <c r="D57"/>
  <c r="E57"/>
  <c r="F57"/>
  <c r="C58"/>
  <c r="D58"/>
  <c r="E58"/>
  <c r="F58"/>
  <c r="C59"/>
  <c r="D59"/>
  <c r="E59"/>
  <c r="F59"/>
  <c r="C60"/>
  <c r="D60"/>
  <c r="E60"/>
  <c r="F60"/>
  <c r="C61"/>
  <c r="D61"/>
  <c r="E61"/>
  <c r="F61"/>
  <c r="C62"/>
  <c r="D62"/>
  <c r="E62"/>
  <c r="F62"/>
  <c r="C63"/>
  <c r="D63"/>
  <c r="E63"/>
  <c r="F63"/>
  <c r="B57"/>
  <c r="B58"/>
  <c r="B59"/>
  <c r="B60"/>
  <c r="B61"/>
  <c r="B62"/>
  <c r="B63"/>
  <c r="B56"/>
  <c r="H63" i="6"/>
  <c r="F103"/>
  <c r="H56"/>
  <c r="C96"/>
  <c r="D96"/>
  <c r="E96"/>
  <c r="F96"/>
  <c r="H57"/>
  <c r="C97"/>
  <c r="D97"/>
  <c r="E97"/>
  <c r="F97"/>
  <c r="H58"/>
  <c r="C98"/>
  <c r="D98"/>
  <c r="E98"/>
  <c r="F98"/>
  <c r="H59"/>
  <c r="C99"/>
  <c r="D99"/>
  <c r="E99"/>
  <c r="F99"/>
  <c r="H60"/>
  <c r="C100"/>
  <c r="D100"/>
  <c r="E100"/>
  <c r="F100"/>
  <c r="H61"/>
  <c r="C101"/>
  <c r="D101"/>
  <c r="E101"/>
  <c r="F101"/>
  <c r="H62"/>
  <c r="C102"/>
  <c r="D102"/>
  <c r="E102"/>
  <c r="F102"/>
  <c r="C103"/>
  <c r="D103"/>
  <c r="E103"/>
  <c r="B97"/>
  <c r="B98"/>
  <c r="B99"/>
  <c r="B100"/>
  <c r="B101"/>
  <c r="B102"/>
  <c r="B103"/>
  <c r="B96"/>
  <c r="C86"/>
  <c r="D86"/>
  <c r="E86"/>
  <c r="F86"/>
  <c r="C87"/>
  <c r="D87"/>
  <c r="E87"/>
  <c r="F87"/>
  <c r="C88"/>
  <c r="D88"/>
  <c r="E88"/>
  <c r="F88"/>
  <c r="C89"/>
  <c r="D89"/>
  <c r="E89"/>
  <c r="F89"/>
  <c r="C90"/>
  <c r="D90"/>
  <c r="E90"/>
  <c r="F90"/>
  <c r="C91"/>
  <c r="D91"/>
  <c r="E91"/>
  <c r="F91"/>
  <c r="C92"/>
  <c r="D92"/>
  <c r="E92"/>
  <c r="F92"/>
  <c r="C93"/>
  <c r="D93"/>
  <c r="E93"/>
  <c r="F93"/>
  <c r="B87"/>
  <c r="B88"/>
  <c r="B89"/>
  <c r="B90"/>
  <c r="B91"/>
  <c r="B92"/>
  <c r="B93"/>
  <c r="C76"/>
  <c r="D76"/>
  <c r="E76"/>
  <c r="F76"/>
  <c r="C77"/>
  <c r="D77"/>
  <c r="E77"/>
  <c r="F77"/>
  <c r="C78"/>
  <c r="D78"/>
  <c r="E78"/>
  <c r="F78"/>
  <c r="C79"/>
  <c r="D79"/>
  <c r="E79"/>
  <c r="F79"/>
  <c r="C80"/>
  <c r="D80"/>
  <c r="E80"/>
  <c r="F80"/>
  <c r="C81"/>
  <c r="D81"/>
  <c r="E81"/>
  <c r="F81"/>
  <c r="C82"/>
  <c r="D82"/>
  <c r="E82"/>
  <c r="F82"/>
  <c r="C83"/>
  <c r="D83"/>
  <c r="E83"/>
  <c r="F83"/>
  <c r="B77"/>
  <c r="B78"/>
  <c r="B79"/>
  <c r="B80"/>
  <c r="B81"/>
  <c r="B82"/>
  <c r="B83"/>
  <c r="B76"/>
  <c r="C56"/>
  <c r="D56"/>
  <c r="E56"/>
  <c r="F56"/>
  <c r="C57"/>
  <c r="D57"/>
  <c r="E57"/>
  <c r="F57"/>
  <c r="C58"/>
  <c r="D58"/>
  <c r="E58"/>
  <c r="F58"/>
  <c r="C59"/>
  <c r="D59"/>
  <c r="E59"/>
  <c r="F59"/>
  <c r="C60"/>
  <c r="D60"/>
  <c r="E60"/>
  <c r="F60"/>
  <c r="C61"/>
  <c r="D61"/>
  <c r="E61"/>
  <c r="F61"/>
  <c r="C62"/>
  <c r="D62"/>
  <c r="E62"/>
  <c r="F62"/>
  <c r="C63"/>
  <c r="D63"/>
  <c r="E63"/>
  <c r="F63"/>
  <c r="B57"/>
  <c r="B58"/>
  <c r="B59"/>
  <c r="B60"/>
  <c r="B61"/>
  <c r="B62"/>
  <c r="B63"/>
  <c r="B56"/>
  <c r="D82" i="1"/>
  <c r="D79"/>
  <c r="C79"/>
  <c r="D77"/>
  <c r="C77"/>
  <c r="D67"/>
  <c r="H24"/>
  <c r="H14"/>
  <c r="H26"/>
  <c r="G26"/>
  <c r="G24"/>
  <c r="C24"/>
  <c r="D24"/>
  <c r="D26"/>
  <c r="C37"/>
  <c r="H22"/>
  <c r="H18"/>
  <c r="A37"/>
  <c r="H21"/>
  <c r="H13"/>
  <c r="H16"/>
  <c r="G19"/>
  <c r="G22"/>
  <c r="G21"/>
  <c r="G13"/>
  <c r="G16"/>
  <c r="D22"/>
  <c r="D18"/>
  <c r="D21"/>
  <c r="D13"/>
  <c r="D14"/>
  <c r="D16"/>
  <c r="C19"/>
  <c r="C22"/>
  <c r="C18"/>
  <c r="C21"/>
  <c r="C13"/>
  <c r="C16"/>
  <c r="C26"/>
  <c r="D75"/>
  <c r="D71"/>
  <c r="D74"/>
  <c r="D66"/>
  <c r="D69"/>
  <c r="C75"/>
  <c r="C71"/>
  <c r="C74"/>
  <c r="C66"/>
  <c r="C67"/>
  <c r="C69"/>
  <c r="G72"/>
  <c r="G75"/>
  <c r="G74"/>
  <c r="G77"/>
  <c r="G66"/>
  <c r="G69"/>
  <c r="G79"/>
  <c r="H75"/>
  <c r="H71"/>
  <c r="H74"/>
  <c r="H77"/>
  <c r="H66"/>
  <c r="H69"/>
  <c r="H79"/>
  <c r="I75"/>
  <c r="I71"/>
  <c r="I74"/>
  <c r="I77"/>
  <c r="I66"/>
  <c r="I67"/>
  <c r="I69"/>
  <c r="I79"/>
  <c r="I58"/>
  <c r="I59"/>
  <c r="I82"/>
  <c r="C5"/>
  <c r="C6"/>
  <c r="C29"/>
  <c r="D5"/>
  <c r="D6"/>
  <c r="D29"/>
  <c r="D58"/>
  <c r="D59"/>
  <c r="C58"/>
  <c r="C59"/>
  <c r="C82"/>
  <c r="B37"/>
  <c r="H5"/>
  <c r="H6"/>
  <c r="H29"/>
  <c r="G5"/>
  <c r="G6"/>
  <c r="G29"/>
  <c r="H30"/>
  <c r="G58"/>
  <c r="G59"/>
  <c r="G82"/>
  <c r="I83"/>
  <c r="H58"/>
  <c r="H59"/>
  <c r="H82"/>
  <c r="H83"/>
  <c r="D83"/>
  <c r="D30"/>
  <c r="I80"/>
  <c r="H80"/>
  <c r="H27"/>
  <c r="D80"/>
  <c r="D27"/>
  <c r="I59" i="2"/>
  <c r="I60"/>
  <c r="I61"/>
  <c r="C40"/>
  <c r="G59"/>
  <c r="G60"/>
  <c r="H59"/>
  <c r="H60"/>
  <c r="C5"/>
  <c r="C6"/>
  <c r="C7"/>
  <c r="C10"/>
  <c r="C11"/>
  <c r="I64"/>
  <c r="I65"/>
  <c r="I69"/>
  <c r="I70"/>
  <c r="B40"/>
  <c r="I72"/>
  <c r="I73"/>
  <c r="I75"/>
  <c r="I76"/>
  <c r="I81"/>
  <c r="H61"/>
  <c r="H64"/>
  <c r="H65"/>
  <c r="H69"/>
  <c r="H70"/>
  <c r="H72"/>
  <c r="H73"/>
  <c r="H75"/>
  <c r="H76"/>
  <c r="H81"/>
  <c r="G61"/>
  <c r="G64"/>
  <c r="G65"/>
  <c r="G69"/>
  <c r="G70"/>
  <c r="A40"/>
  <c r="G72"/>
  <c r="G73"/>
  <c r="G75"/>
  <c r="G76"/>
  <c r="G81"/>
  <c r="D58"/>
  <c r="D59"/>
  <c r="D60"/>
  <c r="D63"/>
  <c r="D64"/>
  <c r="D68"/>
  <c r="D69"/>
  <c r="D71"/>
  <c r="D5"/>
  <c r="D6"/>
  <c r="D7"/>
  <c r="D72"/>
  <c r="D74"/>
  <c r="D75"/>
  <c r="D80"/>
  <c r="C58"/>
  <c r="C59"/>
  <c r="C60"/>
  <c r="C63"/>
  <c r="C64"/>
  <c r="C68"/>
  <c r="C69"/>
  <c r="C71"/>
  <c r="C72"/>
  <c r="C74"/>
  <c r="C75"/>
  <c r="C80"/>
  <c r="H18"/>
  <c r="H19"/>
  <c r="H5"/>
  <c r="H6"/>
  <c r="H7"/>
  <c r="H10"/>
  <c r="H11"/>
  <c r="H15"/>
  <c r="H16"/>
  <c r="H21"/>
  <c r="H22"/>
  <c r="H27"/>
  <c r="G18"/>
  <c r="G19"/>
  <c r="G5"/>
  <c r="G6"/>
  <c r="G7"/>
  <c r="G10"/>
  <c r="G11"/>
  <c r="G15"/>
  <c r="G16"/>
  <c r="G21"/>
  <c r="G22"/>
  <c r="G27"/>
  <c r="D18"/>
  <c r="D19"/>
  <c r="D10"/>
  <c r="D11"/>
  <c r="D15"/>
  <c r="D16"/>
  <c r="D21"/>
  <c r="D22"/>
  <c r="D27"/>
  <c r="C18"/>
  <c r="C19"/>
  <c r="C15"/>
  <c r="C16"/>
  <c r="C21"/>
  <c r="C22"/>
  <c r="C27"/>
  <c r="C24"/>
  <c r="H30"/>
  <c r="D30"/>
  <c r="G30"/>
  <c r="G84"/>
  <c r="G24"/>
  <c r="H24"/>
  <c r="D77"/>
  <c r="I78"/>
  <c r="H78"/>
  <c r="G78"/>
  <c r="C77"/>
  <c r="D24"/>
  <c r="C30"/>
  <c r="I84"/>
  <c r="H84"/>
  <c r="C83"/>
  <c r="D83"/>
  <c r="D28"/>
  <c r="I82"/>
  <c r="H82"/>
  <c r="D81"/>
  <c r="H28"/>
  <c r="D78"/>
  <c r="I79"/>
  <c r="H79"/>
  <c r="H25"/>
  <c r="D25"/>
</calcChain>
</file>

<file path=xl/sharedStrings.xml><?xml version="1.0" encoding="utf-8"?>
<sst xmlns="http://schemas.openxmlformats.org/spreadsheetml/2006/main" count="1408" uniqueCount="273">
  <si>
    <t>Options (10%)</t>
    <phoneticPr fontId="5" type="noConversion"/>
  </si>
  <si>
    <t>Renault</t>
    <phoneticPr fontId="5" type="noConversion"/>
  </si>
  <si>
    <t>Twizy</t>
    <phoneticPr fontId="5" type="noConversion"/>
  </si>
  <si>
    <t>ATN Minimum</t>
    <phoneticPr fontId="5" type="noConversion"/>
  </si>
  <si>
    <t xml:space="preserve">Formule ATN: Prix total x (5,5% +(CO2 - REF) x 0,1%) x 6/7 </t>
    <phoneticPr fontId="5" type="noConversion"/>
  </si>
  <si>
    <t>REF = 91g/CO2 pour Diesel et 110g/CO2 pour essence</t>
    <phoneticPr fontId="5" type="noConversion"/>
  </si>
  <si>
    <t>%: minimum 4% (voitures électriques) et maximum 18%</t>
    <phoneticPr fontId="5" type="noConversion"/>
  </si>
  <si>
    <t>Pour une utilisation de 4 ans et 20.000/km par an (valeurs actualisés)</t>
    <phoneticPr fontId="5" type="noConversion"/>
  </si>
  <si>
    <t>Privé</t>
    <phoneticPr fontId="5" type="noConversion"/>
  </si>
  <si>
    <t>Taxe de circulation</t>
    <phoneticPr fontId="5" type="noConversion"/>
  </si>
  <si>
    <t>Toyota</t>
    <phoneticPr fontId="5" type="noConversion"/>
  </si>
  <si>
    <t>Prix de base TVAC</t>
    <phoneticPr fontId="5" type="noConversion"/>
  </si>
  <si>
    <t xml:space="preserve"> Auris (Confort)</t>
    <phoneticPr fontId="5" type="noConversion"/>
  </si>
  <si>
    <t>Volkwagen</t>
    <phoneticPr fontId="5" type="noConversion"/>
  </si>
  <si>
    <t>Golf (Highline)</t>
    <phoneticPr fontId="5" type="noConversion"/>
  </si>
  <si>
    <t>10CV</t>
    <phoneticPr fontId="5" type="noConversion"/>
  </si>
  <si>
    <t>8CV</t>
    <phoneticPr fontId="5" type="noConversion"/>
  </si>
  <si>
    <t>i3 REX</t>
    <phoneticPr fontId="5" type="noConversion"/>
  </si>
  <si>
    <t>4CV</t>
    <phoneticPr fontId="5" type="noConversion"/>
  </si>
  <si>
    <t>Tesla</t>
    <phoneticPr fontId="5" type="noConversion"/>
  </si>
  <si>
    <t>Bmw</t>
    <phoneticPr fontId="5" type="noConversion"/>
  </si>
  <si>
    <t xml:space="preserve">Mercedes </t>
    <phoneticPr fontId="5" type="noConversion"/>
  </si>
  <si>
    <t>11 ans</t>
  </si>
  <si>
    <t>12 ans</t>
  </si>
  <si>
    <t>13 ans</t>
  </si>
  <si>
    <t>14 ans</t>
  </si>
  <si>
    <t>15 ans</t>
  </si>
  <si>
    <t>16 ans</t>
  </si>
  <si>
    <t>5.000 km</t>
    <phoneticPr fontId="5" type="noConversion"/>
  </si>
  <si>
    <t>10.000km</t>
    <phoneticPr fontId="5" type="noConversion"/>
  </si>
  <si>
    <t>15.000km</t>
    <phoneticPr fontId="5" type="noConversion"/>
  </si>
  <si>
    <t>20.000km</t>
    <phoneticPr fontId="5" type="noConversion"/>
  </si>
  <si>
    <t>25.000 km</t>
    <phoneticPr fontId="5" type="noConversion"/>
  </si>
  <si>
    <t>30.000km</t>
    <phoneticPr fontId="5" type="noConversion"/>
  </si>
  <si>
    <t>Différence entre Twizy et Smart</t>
    <phoneticPr fontId="5" type="noConversion"/>
  </si>
  <si>
    <t>Différence entre i3 et Série 1</t>
    <phoneticPr fontId="5" type="noConversion"/>
  </si>
  <si>
    <t>Différence entre Auris et Golf</t>
    <phoneticPr fontId="5" type="noConversion"/>
  </si>
  <si>
    <t>Chiffres Société (€)</t>
  </si>
  <si>
    <t>Electrique</t>
    <phoneticPr fontId="5" type="noConversion"/>
  </si>
  <si>
    <t>Cout total (achat+ utilisation)</t>
    <phoneticPr fontId="5" type="noConversion"/>
  </si>
  <si>
    <t>Modèle 70D</t>
    <phoneticPr fontId="5" type="noConversion"/>
  </si>
  <si>
    <t>Avantage Fiscal</t>
    <phoneticPr fontId="5" type="noConversion"/>
  </si>
  <si>
    <t>Avantage fiscal total</t>
    <phoneticPr fontId="5" type="noConversion"/>
  </si>
  <si>
    <t>Déductibilité fiscal</t>
    <phoneticPr fontId="5" type="noConversion"/>
  </si>
  <si>
    <t>Smart</t>
    <phoneticPr fontId="5" type="noConversion"/>
  </si>
  <si>
    <t xml:space="preserve">Valeur € </t>
    <phoneticPr fontId="5" type="noConversion"/>
  </si>
  <si>
    <t>Différence €</t>
    <phoneticPr fontId="5" type="noConversion"/>
  </si>
  <si>
    <t>Consomation et CO2 repris de l'ongelet "Privé"</t>
    <phoneticPr fontId="5" type="noConversion"/>
  </si>
  <si>
    <t>Bonus/malus achat</t>
    <phoneticPr fontId="5" type="noConversion"/>
  </si>
  <si>
    <t>* Prix de l'essence et du Diesel le 25 juin 2015</t>
    <phoneticPr fontId="5" type="noConversion"/>
  </si>
  <si>
    <t>5.000km</t>
    <phoneticPr fontId="5" type="noConversion"/>
  </si>
  <si>
    <t>Smart</t>
    <phoneticPr fontId="5" type="noConversion"/>
  </si>
  <si>
    <t>Twizy</t>
    <phoneticPr fontId="5" type="noConversion"/>
  </si>
  <si>
    <t>% décote</t>
    <phoneticPr fontId="5" type="noConversion"/>
  </si>
  <si>
    <t>Valeur neuf Twizy</t>
    <phoneticPr fontId="5" type="noConversion"/>
  </si>
  <si>
    <t>Prix total</t>
    <phoneticPr fontId="5" type="noConversion"/>
  </si>
  <si>
    <t xml:space="preserve"> </t>
    <phoneticPr fontId="5" type="noConversion"/>
  </si>
  <si>
    <t>Bonus/malus</t>
    <phoneticPr fontId="5" type="noConversion"/>
  </si>
  <si>
    <t>TMC</t>
    <phoneticPr fontId="5" type="noConversion"/>
  </si>
  <si>
    <t>Accices</t>
    <phoneticPr fontId="5" type="noConversion"/>
  </si>
  <si>
    <t>Taxe/km</t>
    <phoneticPr fontId="5" type="noConversion"/>
  </si>
  <si>
    <t>Twizy/Smart</t>
    <phoneticPr fontId="5" type="noConversion"/>
  </si>
  <si>
    <t>-765€</t>
    <phoneticPr fontId="5" type="noConversion"/>
  </si>
  <si>
    <t>Cout total</t>
    <phoneticPr fontId="5" type="noConversion"/>
  </si>
  <si>
    <t xml:space="preserve">Mercedes </t>
    <phoneticPr fontId="5" type="noConversion"/>
  </si>
  <si>
    <t>Electricité €/kWh***</t>
    <phoneticPr fontId="5" type="noConversion"/>
  </si>
  <si>
    <t>Chevaux</t>
    <phoneticPr fontId="5" type="noConversion"/>
  </si>
  <si>
    <t>Différence entre Tesla et Mercedes Hybride</t>
    <phoneticPr fontId="5" type="noConversion"/>
  </si>
  <si>
    <t>Consomation kWh/100km</t>
    <phoneticPr fontId="5" type="noConversion"/>
  </si>
  <si>
    <t>1 an</t>
    <phoneticPr fontId="5" type="noConversion"/>
  </si>
  <si>
    <t>2 ans</t>
    <phoneticPr fontId="5" type="noConversion"/>
  </si>
  <si>
    <t>3 ans</t>
    <phoneticPr fontId="5" type="noConversion"/>
  </si>
  <si>
    <t>4 ans</t>
  </si>
  <si>
    <t>5 ans</t>
  </si>
  <si>
    <t>6 ans</t>
  </si>
  <si>
    <t>Série 1 120d</t>
    <phoneticPr fontId="5" type="noConversion"/>
  </si>
  <si>
    <t>10CV</t>
    <phoneticPr fontId="5" type="noConversion"/>
  </si>
  <si>
    <t>* Location de batterie/mois €</t>
    <phoneticPr fontId="5" type="noConversion"/>
  </si>
  <si>
    <t>Diesel</t>
    <phoneticPr fontId="5" type="noConversion"/>
  </si>
  <si>
    <t>Différence entre Tesla et Mercedes Hybride</t>
    <phoneticPr fontId="5" type="noConversion"/>
  </si>
  <si>
    <t>Fortwo</t>
    <phoneticPr fontId="5" type="noConversion"/>
  </si>
  <si>
    <t>Electrique</t>
    <phoneticPr fontId="5" type="noConversion"/>
  </si>
  <si>
    <t>Essence</t>
    <phoneticPr fontId="5" type="noConversion"/>
  </si>
  <si>
    <t>11CV</t>
    <phoneticPr fontId="5" type="noConversion"/>
  </si>
  <si>
    <t>Diesel/hybride</t>
    <phoneticPr fontId="5" type="noConversion"/>
  </si>
  <si>
    <t>Prix total</t>
    <phoneticPr fontId="5" type="noConversion"/>
  </si>
  <si>
    <t>ATN de minimum 1250 euro/an</t>
    <phoneticPr fontId="5" type="noConversion"/>
  </si>
  <si>
    <t>Cout total société</t>
    <phoneticPr fontId="5" type="noConversion"/>
  </si>
  <si>
    <t>Frais de carburant*</t>
    <phoneticPr fontId="5" type="noConversion"/>
  </si>
  <si>
    <t>* Location de batterie/mois €</t>
    <phoneticPr fontId="5" type="noConversion"/>
  </si>
  <si>
    <t>Prix total</t>
    <phoneticPr fontId="5" type="noConversion"/>
  </si>
  <si>
    <t>4CV</t>
    <phoneticPr fontId="5" type="noConversion"/>
  </si>
  <si>
    <t>Avantage Fiscal</t>
    <phoneticPr fontId="5" type="noConversion"/>
  </si>
  <si>
    <t>Avantage Fiscal total €</t>
    <phoneticPr fontId="5" type="noConversion"/>
  </si>
  <si>
    <t>Avantage Fiscal total €</t>
    <phoneticPr fontId="5" type="noConversion"/>
  </si>
  <si>
    <t>Solidarité CO2</t>
    <phoneticPr fontId="5" type="noConversion"/>
  </si>
  <si>
    <t>Source: Creg juin 2015, p.19</t>
    <phoneticPr fontId="5" type="noConversion"/>
  </si>
  <si>
    <t>Avantage Fiscale totale €</t>
    <phoneticPr fontId="5" type="noConversion"/>
  </si>
  <si>
    <t>Nombre de km/an</t>
    <phoneticPr fontId="5" type="noConversion"/>
  </si>
  <si>
    <t>http://www.creg.info/Tarifs/composanteenergie.pdf</t>
    <phoneticPr fontId="5" type="noConversion"/>
  </si>
  <si>
    <t xml:space="preserve">Différence entre Twizy et Smart </t>
    <phoneticPr fontId="5" type="noConversion"/>
  </si>
  <si>
    <t>Si TVA 21%</t>
    <phoneticPr fontId="5" type="noConversion"/>
  </si>
  <si>
    <t>Si TVA 6%</t>
    <phoneticPr fontId="5" type="noConversion"/>
  </si>
  <si>
    <t>TVA sur prix d'achat non récupérable</t>
    <phoneticPr fontId="5" type="noConversion"/>
  </si>
  <si>
    <t xml:space="preserve">Avantage Fiscal </t>
    <phoneticPr fontId="5" type="noConversion"/>
  </si>
  <si>
    <t>Entretien/an</t>
    <phoneticPr fontId="5" type="noConversion"/>
  </si>
  <si>
    <t>Avantage Fiscal</t>
    <phoneticPr fontId="5" type="noConversion"/>
  </si>
  <si>
    <t>TVA non récupérable</t>
    <phoneticPr fontId="5" type="noConversion"/>
  </si>
  <si>
    <t>Essence 95 €/l</t>
    <phoneticPr fontId="5" type="noConversion"/>
  </si>
  <si>
    <t>Diesel €/l</t>
    <phoneticPr fontId="5" type="noConversion"/>
  </si>
  <si>
    <t>€</t>
    <phoneticPr fontId="5" type="noConversion"/>
  </si>
  <si>
    <t>€</t>
    <phoneticPr fontId="5" type="noConversion"/>
  </si>
  <si>
    <t>€</t>
    <phoneticPr fontId="5" type="noConversion"/>
  </si>
  <si>
    <t>Différence</t>
    <phoneticPr fontId="5" type="noConversion"/>
  </si>
  <si>
    <t>HTVA</t>
    <phoneticPr fontId="5" type="noConversion"/>
  </si>
  <si>
    <t>€</t>
    <phoneticPr fontId="5" type="noConversion"/>
  </si>
  <si>
    <t>Cout carburant 100 km</t>
    <phoneticPr fontId="5" type="noConversion"/>
  </si>
  <si>
    <t>Cout électricité 100 km</t>
    <phoneticPr fontId="5" type="noConversion"/>
  </si>
  <si>
    <t>Electricité €/kWh**</t>
    <phoneticPr fontId="5" type="noConversion"/>
  </si>
  <si>
    <t>Majoration accises carburant</t>
    <phoneticPr fontId="5" type="noConversion"/>
  </si>
  <si>
    <t>Avantage Fiscal total €</t>
    <phoneticPr fontId="5" type="noConversion"/>
  </si>
  <si>
    <t>7 ans</t>
  </si>
  <si>
    <t>8 ans</t>
  </si>
  <si>
    <t>9 ans</t>
  </si>
  <si>
    <t>10 ans</t>
  </si>
  <si>
    <t>*** Prix basé sur Luminus Optimal 3 ans, consomation mixte Jour/Nuit, Bruxelles</t>
    <phoneticPr fontId="5" type="noConversion"/>
  </si>
  <si>
    <t>3.500 kWh/an, 1.600 kWh/jour et 1.900 kWh/nuit</t>
    <phoneticPr fontId="5" type="noConversion"/>
  </si>
  <si>
    <t>HTVA</t>
    <phoneticPr fontId="5" type="noConversion"/>
  </si>
  <si>
    <t>Consomation kWh/100km</t>
    <phoneticPr fontId="5" type="noConversion"/>
  </si>
  <si>
    <t>Cout total société</t>
    <phoneticPr fontId="5" type="noConversion"/>
  </si>
  <si>
    <t>Différence</t>
    <phoneticPr fontId="5" type="noConversion"/>
  </si>
  <si>
    <t>€</t>
  </si>
  <si>
    <t>ATN Brut/an</t>
    <phoneticPr fontId="5" type="noConversion"/>
  </si>
  <si>
    <t>CO2</t>
    <phoneticPr fontId="5" type="noConversion"/>
  </si>
  <si>
    <t>Marque</t>
    <phoneticPr fontId="5" type="noConversion"/>
  </si>
  <si>
    <t>15.000km</t>
    <phoneticPr fontId="5" type="noConversion"/>
  </si>
  <si>
    <t>TVA non récupérable</t>
    <phoneticPr fontId="5" type="noConversion"/>
  </si>
  <si>
    <t>Twizy et Smart</t>
    <phoneticPr fontId="5" type="noConversion"/>
  </si>
  <si>
    <t>BMW i3 et Série 1</t>
    <phoneticPr fontId="5" type="noConversion"/>
  </si>
  <si>
    <t>Toyota Auris et VW Golf</t>
    <phoneticPr fontId="5" type="noConversion"/>
  </si>
  <si>
    <t>Puissance Fiscale</t>
    <phoneticPr fontId="5" type="noConversion"/>
  </si>
  <si>
    <t>TMC</t>
    <phoneticPr fontId="5" type="noConversion"/>
  </si>
  <si>
    <t>km/an</t>
  </si>
  <si>
    <t>km/an</t>
    <phoneticPr fontId="5" type="noConversion"/>
  </si>
  <si>
    <t>1 an</t>
    <phoneticPr fontId="5" type="noConversion"/>
  </si>
  <si>
    <t>8 ans</t>
    <phoneticPr fontId="5" type="noConversion"/>
  </si>
  <si>
    <t>km/an</t>
    <phoneticPr fontId="5" type="noConversion"/>
  </si>
  <si>
    <t>1 an</t>
    <phoneticPr fontId="5" type="noConversion"/>
  </si>
  <si>
    <t>Chiffres Privé (€)</t>
    <phoneticPr fontId="5" type="noConversion"/>
  </si>
  <si>
    <t>Cout total(nbr années)</t>
    <phoneticPr fontId="5" type="noConversion"/>
  </si>
  <si>
    <t>i3/Série 1</t>
    <phoneticPr fontId="5" type="noConversion"/>
  </si>
  <si>
    <t>Auris/Golf</t>
    <phoneticPr fontId="5" type="noConversion"/>
  </si>
  <si>
    <t>Tesla/Hybride</t>
    <phoneticPr fontId="5" type="noConversion"/>
  </si>
  <si>
    <t>Tesla/Diesel</t>
    <phoneticPr fontId="5" type="noConversion"/>
  </si>
  <si>
    <t>TC</t>
    <phoneticPr fontId="5" type="noConversion"/>
  </si>
  <si>
    <t>Différence entre i3 et Série 1 : valeurs actualisées (3%)</t>
    <phoneticPr fontId="5" type="noConversion"/>
  </si>
  <si>
    <t>Différence entre Auris et Golf : valeurs actualisées (3%)</t>
    <phoneticPr fontId="5" type="noConversion"/>
  </si>
  <si>
    <t xml:space="preserve">Différence entre Tesla et Mercedes Diesel : valeurs actualisées (3%)  </t>
    <phoneticPr fontId="5" type="noConversion"/>
  </si>
  <si>
    <t>-16€</t>
    <phoneticPr fontId="5" type="noConversion"/>
  </si>
  <si>
    <t>S 350 hybride</t>
    <phoneticPr fontId="5" type="noConversion"/>
  </si>
  <si>
    <t>4CV</t>
    <phoneticPr fontId="5" type="noConversion"/>
  </si>
  <si>
    <t>S 350</t>
    <phoneticPr fontId="5" type="noConversion"/>
  </si>
  <si>
    <t>Tesla</t>
    <phoneticPr fontId="5" type="noConversion"/>
  </si>
  <si>
    <t>Mercredes</t>
    <phoneticPr fontId="5" type="noConversion"/>
  </si>
  <si>
    <t>Hybride/essence</t>
    <phoneticPr fontId="5" type="noConversion"/>
  </si>
  <si>
    <t>Valeur neuf Tesla</t>
    <phoneticPr fontId="5" type="noConversion"/>
  </si>
  <si>
    <t>Valeur neuf Mercedes</t>
    <phoneticPr fontId="5" type="noConversion"/>
  </si>
  <si>
    <t>Déductibilité fiscal</t>
    <phoneticPr fontId="5" type="noConversion"/>
  </si>
  <si>
    <t>Carburant</t>
    <phoneticPr fontId="5" type="noConversion"/>
  </si>
  <si>
    <t>Essence</t>
    <phoneticPr fontId="5" type="noConversion"/>
  </si>
  <si>
    <t>Essence/hybride</t>
    <phoneticPr fontId="5" type="noConversion"/>
  </si>
  <si>
    <t>Electrique/essence</t>
    <phoneticPr fontId="5" type="noConversion"/>
  </si>
  <si>
    <t>Diesel</t>
    <phoneticPr fontId="5" type="noConversion"/>
  </si>
  <si>
    <t>Différence entre Twizy et Smart : valeur actualisés (3%)</t>
    <phoneticPr fontId="5" type="noConversion"/>
  </si>
  <si>
    <t>Différence entre Auris et Golf : Valeurs actualisés (3%)</t>
    <phoneticPr fontId="5" type="noConversion"/>
  </si>
  <si>
    <t>Différence entre i3 et Série 1: valeurs actualisés (3%)</t>
    <phoneticPr fontId="5" type="noConversion"/>
  </si>
  <si>
    <t>Différence entre Tesla et Mercedes Hybride : valeurs actualisés (3%)</t>
    <phoneticPr fontId="5" type="noConversion"/>
  </si>
  <si>
    <t>Différence entre Twizy et Smart</t>
    <phoneticPr fontId="5" type="noConversion"/>
  </si>
  <si>
    <t xml:space="preserve">Différence entre Twizy et Smart </t>
    <phoneticPr fontId="5" type="noConversion"/>
  </si>
  <si>
    <t>Différence entre i3 et Série 1</t>
    <phoneticPr fontId="5" type="noConversion"/>
  </si>
  <si>
    <t xml:space="preserve">Différence entre Tesla et Mercedes Diesel    </t>
    <phoneticPr fontId="5" type="noConversion"/>
  </si>
  <si>
    <t>Majoration consomation</t>
    <phoneticPr fontId="5" type="noConversion"/>
  </si>
  <si>
    <t>Marque</t>
    <phoneticPr fontId="5" type="noConversion"/>
  </si>
  <si>
    <t>15CV</t>
    <phoneticPr fontId="5" type="noConversion"/>
  </si>
  <si>
    <t>5CV</t>
    <phoneticPr fontId="5" type="noConversion"/>
  </si>
  <si>
    <t>TMC</t>
    <phoneticPr fontId="5" type="noConversion"/>
  </si>
  <si>
    <t>Frais de carburant</t>
    <phoneticPr fontId="5" type="noConversion"/>
  </si>
  <si>
    <t>Différence entre Twizy et Smart</t>
    <phoneticPr fontId="5" type="noConversion"/>
  </si>
  <si>
    <t>Durée d'utilisation</t>
    <phoneticPr fontId="5" type="noConversion"/>
  </si>
  <si>
    <t>Différence</t>
    <phoneticPr fontId="5" type="noConversion"/>
  </si>
  <si>
    <t>Nombre de km/an</t>
    <phoneticPr fontId="5" type="noConversion"/>
  </si>
  <si>
    <t>Nombre d'années</t>
    <phoneticPr fontId="5" type="noConversion"/>
  </si>
  <si>
    <t>Valeur neuf Smart</t>
    <phoneticPr fontId="5" type="noConversion"/>
  </si>
  <si>
    <t>Modèle</t>
    <phoneticPr fontId="5" type="noConversion"/>
  </si>
  <si>
    <t>Avantage Fiscal</t>
    <phoneticPr fontId="5" type="noConversion"/>
  </si>
  <si>
    <t>Avantage fiscal total</t>
    <phoneticPr fontId="5" type="noConversion"/>
  </si>
  <si>
    <t>Tesla Modèle S et Mercedes Hybride</t>
    <phoneticPr fontId="5" type="noConversion"/>
  </si>
  <si>
    <t>Tesla Modèle S et Mercedes Diesel</t>
    <phoneticPr fontId="5" type="noConversion"/>
  </si>
  <si>
    <t>Différence entre i3 et Série 1</t>
    <phoneticPr fontId="5" type="noConversion"/>
  </si>
  <si>
    <t>i3</t>
    <phoneticPr fontId="5" type="noConversion"/>
  </si>
  <si>
    <t>Série 1</t>
    <phoneticPr fontId="5" type="noConversion"/>
  </si>
  <si>
    <t>Valeur neuf i3</t>
    <phoneticPr fontId="5" type="noConversion"/>
  </si>
  <si>
    <t>Valeur neuf Série 1</t>
    <phoneticPr fontId="5" type="noConversion"/>
  </si>
  <si>
    <t>Auris</t>
    <phoneticPr fontId="5" type="noConversion"/>
  </si>
  <si>
    <t>Golf</t>
    <phoneticPr fontId="5" type="noConversion"/>
  </si>
  <si>
    <t>Valeur neuf Auris</t>
    <phoneticPr fontId="5" type="noConversion"/>
  </si>
  <si>
    <t>Valeur neuf Golf</t>
    <phoneticPr fontId="5" type="noConversion"/>
  </si>
  <si>
    <t>Différence entre Tesla et Mercredes</t>
    <phoneticPr fontId="5" type="noConversion"/>
  </si>
  <si>
    <t>Valeur résiduelle actualisé</t>
  </si>
  <si>
    <t>Valeur résiduelle actualisé</t>
    <phoneticPr fontId="5" type="noConversion"/>
  </si>
  <si>
    <t>-59€</t>
    <phoneticPr fontId="5" type="noConversion"/>
  </si>
  <si>
    <t>7.317€</t>
    <phoneticPr fontId="5" type="noConversion"/>
  </si>
  <si>
    <t>2.235€</t>
    <phoneticPr fontId="5" type="noConversion"/>
  </si>
  <si>
    <t>6.022€</t>
    <phoneticPr fontId="5" type="noConversion"/>
  </si>
  <si>
    <t>6.830€</t>
    <phoneticPr fontId="5" type="noConversion"/>
  </si>
  <si>
    <t>24.813€</t>
    <phoneticPr fontId="5" type="noConversion"/>
  </si>
  <si>
    <t>5.653€</t>
    <phoneticPr fontId="5" type="noConversion"/>
  </si>
  <si>
    <t>-5.318€</t>
    <phoneticPr fontId="5" type="noConversion"/>
  </si>
  <si>
    <t>2.227€</t>
    <phoneticPr fontId="5" type="noConversion"/>
  </si>
  <si>
    <t>5.960€</t>
    <phoneticPr fontId="5" type="noConversion"/>
  </si>
  <si>
    <t>9.444€</t>
    <phoneticPr fontId="5" type="noConversion"/>
  </si>
  <si>
    <t>5.762€</t>
    <phoneticPr fontId="5" type="noConversion"/>
  </si>
  <si>
    <t>(Après 16 années)</t>
    <phoneticPr fontId="5" type="noConversion"/>
  </si>
  <si>
    <t>(Après 16 années)</t>
    <phoneticPr fontId="5" type="noConversion"/>
  </si>
  <si>
    <t>Années</t>
    <phoneticPr fontId="5" type="noConversion"/>
  </si>
  <si>
    <t>Années</t>
    <phoneticPr fontId="5" type="noConversion"/>
  </si>
  <si>
    <t>Facteur d'actualisation d'actualisation des valeurs après X années (3% de décote/an)</t>
    <phoneticPr fontId="5" type="noConversion"/>
  </si>
  <si>
    <t>Série 1 120d</t>
    <phoneticPr fontId="5" type="noConversion"/>
  </si>
  <si>
    <t>Cylindrée</t>
    <phoneticPr fontId="5" type="noConversion"/>
  </si>
  <si>
    <t>Consomation (l/100km)</t>
    <phoneticPr fontId="5" type="noConversion"/>
  </si>
  <si>
    <t>Déductibilité carburant</t>
    <phoneticPr fontId="5" type="noConversion"/>
  </si>
  <si>
    <t>Avantage Fiscal</t>
    <phoneticPr fontId="5" type="noConversion"/>
  </si>
  <si>
    <t>Différence entre Twizy et Smart : valeurs actualisés (3%)</t>
    <phoneticPr fontId="5" type="noConversion"/>
  </si>
  <si>
    <t>Différence entre i3 et Série 1 : valeurs actualisés (3%)</t>
    <phoneticPr fontId="5" type="noConversion"/>
  </si>
  <si>
    <t>Différence entre Auris et Golf : valeurs actualisés (3%)</t>
    <phoneticPr fontId="5" type="noConversion"/>
  </si>
  <si>
    <t xml:space="preserve">Différence entre Tesla et Mercedes Diesel : valeurs actualisés (3%)  </t>
    <phoneticPr fontId="5" type="noConversion"/>
  </si>
  <si>
    <t>-40€</t>
    <phoneticPr fontId="5" type="noConversion"/>
  </si>
  <si>
    <t>Différence Prix+ utilisation</t>
    <phoneticPr fontId="5" type="noConversion"/>
  </si>
  <si>
    <t>Décote par an</t>
    <phoneticPr fontId="5" type="noConversion"/>
  </si>
  <si>
    <t>Différence actualisé</t>
    <phoneticPr fontId="5" type="noConversion"/>
  </si>
  <si>
    <t>Déductibilité fiscale</t>
    <phoneticPr fontId="5" type="noConversion"/>
  </si>
  <si>
    <t>Impot des société</t>
    <phoneticPr fontId="5" type="noConversion"/>
  </si>
  <si>
    <t>Déductibilité</t>
    <phoneticPr fontId="5" type="noConversion"/>
  </si>
  <si>
    <t>Modele</t>
    <phoneticPr fontId="5" type="noConversion"/>
  </si>
  <si>
    <t>Carburant</t>
    <phoneticPr fontId="5" type="noConversion"/>
  </si>
  <si>
    <t>Prix de base TVAC</t>
    <phoneticPr fontId="5" type="noConversion"/>
  </si>
  <si>
    <t>Options (10%)</t>
    <phoneticPr fontId="5" type="noConversion"/>
  </si>
  <si>
    <t>Entretien/an</t>
    <phoneticPr fontId="5" type="noConversion"/>
  </si>
  <si>
    <t>Cout total Carburant/an</t>
    <phoneticPr fontId="5" type="noConversion"/>
  </si>
  <si>
    <t>Cout total Carburant/an*</t>
    <phoneticPr fontId="5" type="noConversion"/>
  </si>
  <si>
    <t>Différence entre Tesla et Mercedes Hybride</t>
    <phoneticPr fontId="5" type="noConversion"/>
  </si>
  <si>
    <t>5.567€</t>
    <phoneticPr fontId="5" type="noConversion"/>
  </si>
  <si>
    <t>2.386€</t>
    <phoneticPr fontId="5" type="noConversion"/>
  </si>
  <si>
    <t>-4.203€</t>
    <phoneticPr fontId="5" type="noConversion"/>
  </si>
  <si>
    <t>10.685€</t>
    <phoneticPr fontId="5" type="noConversion"/>
  </si>
  <si>
    <t>5.996€</t>
    <phoneticPr fontId="5" type="noConversion"/>
  </si>
  <si>
    <t>-3.256€</t>
    <phoneticPr fontId="5" type="noConversion"/>
  </si>
  <si>
    <t>4.441€</t>
    <phoneticPr fontId="5" type="noConversion"/>
  </si>
  <si>
    <t>5.960€</t>
    <phoneticPr fontId="5" type="noConversion"/>
  </si>
  <si>
    <t>12.182€</t>
    <phoneticPr fontId="5" type="noConversion"/>
  </si>
  <si>
    <t>6.358€</t>
    <phoneticPr fontId="5" type="noConversion"/>
  </si>
  <si>
    <t>-3.824€</t>
    <phoneticPr fontId="5" type="noConversion"/>
  </si>
  <si>
    <t>2.504€</t>
    <phoneticPr fontId="5" type="noConversion"/>
  </si>
  <si>
    <t>6.643€</t>
    <phoneticPr fontId="5" type="noConversion"/>
  </si>
  <si>
    <t>10.297€</t>
    <phoneticPr fontId="5" type="noConversion"/>
  </si>
  <si>
    <t>6.363€</t>
    <phoneticPr fontId="5" type="noConversion"/>
  </si>
  <si>
    <t>-3.648€</t>
    <phoneticPr fontId="5" type="noConversion"/>
  </si>
  <si>
    <t>3.481€</t>
    <phoneticPr fontId="5" type="noConversion"/>
  </si>
  <si>
    <t>6.671€</t>
    <phoneticPr fontId="5" type="noConversion"/>
  </si>
  <si>
    <t>10.665€</t>
    <phoneticPr fontId="5" type="noConversion"/>
  </si>
  <si>
    <t>(Après 8 années)</t>
    <phoneticPr fontId="5" type="noConversion"/>
  </si>
  <si>
    <t>Valeur résiduelle (€)</t>
    <phoneticPr fontId="5" type="noConversion"/>
  </si>
  <si>
    <t>Différence entre Twizy et Smart : valeurs actualisées (3%)</t>
    <phoneticPr fontId="5" type="noConversion"/>
  </si>
</sst>
</file>

<file path=xl/styles.xml><?xml version="1.0" encoding="utf-8"?>
<styleSheet xmlns="http://schemas.openxmlformats.org/spreadsheetml/2006/main">
  <numFmts count="4">
    <numFmt numFmtId="164" formatCode="&quot;€&quot;#,##0.00_);[Red]\(&quot;€&quot;#,##0.00\)"/>
    <numFmt numFmtId="165" formatCode="&quot;€&quot;#,##0_);[Red]\(&quot;€&quot;#,##0\)"/>
    <numFmt numFmtId="166" formatCode="0.000"/>
    <numFmt numFmtId="167" formatCode="#,##0&quot;€&quot;;[Red]#,##0&quot;€&quot;"/>
  </numFmts>
  <fonts count="8">
    <font>
      <sz val="10"/>
      <name val="Verdana"/>
    </font>
    <font>
      <sz val="10"/>
      <name val="Verdana"/>
    </font>
    <font>
      <sz val="10"/>
      <name val="Verdana"/>
    </font>
    <font>
      <sz val="10"/>
      <name val="Verdana"/>
    </font>
    <font>
      <sz val="10"/>
      <name val="Verdana"/>
    </font>
    <font>
      <sz val="8"/>
      <name val="Verdana"/>
    </font>
    <font>
      <sz val="10"/>
      <color indexed="10"/>
      <name val="Verdana"/>
    </font>
    <font>
      <sz val="10"/>
      <color indexed="1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7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9" fontId="0" fillId="0" borderId="0" xfId="0" applyNumberFormat="1"/>
    <xf numFmtId="3" fontId="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6" fontId="0" fillId="0" borderId="0" xfId="0" applyNumberFormat="1"/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2" fillId="0" borderId="0" xfId="0" applyNumberFormat="1" applyFont="1" applyAlignment="1">
      <alignment horizontal="center"/>
    </xf>
    <xf numFmtId="3" fontId="0" fillId="0" borderId="0" xfId="0" applyNumberFormat="1"/>
    <xf numFmtId="2" fontId="0" fillId="0" borderId="0" xfId="0" applyNumberFormat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7" fontId="7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167" fontId="6" fillId="0" borderId="0" xfId="0" applyNumberFormat="1" applyFont="1" applyFill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167" fontId="7" fillId="0" borderId="0" xfId="0" quotePrefix="1" applyNumberFormat="1" applyFont="1" applyAlignment="1">
      <alignment horizontal="center"/>
    </xf>
    <xf numFmtId="167" fontId="6" fillId="0" borderId="0" xfId="0" applyNumberFormat="1" applyFont="1" applyFill="1" applyBorder="1" applyAlignment="1">
      <alignment horizontal="center"/>
    </xf>
    <xf numFmtId="167" fontId="6" fillId="0" borderId="0" xfId="0" applyNumberFormat="1" applyFont="1" applyAlignment="1">
      <alignment horizontal="center"/>
    </xf>
    <xf numFmtId="167" fontId="6" fillId="0" borderId="0" xfId="0" applyNumberFormat="1" applyFont="1" applyFill="1" applyBorder="1" applyAlignment="1">
      <alignment horizontal="center"/>
    </xf>
    <xf numFmtId="167" fontId="7" fillId="0" borderId="0" xfId="0" applyNumberFormat="1" applyFont="1" applyAlignment="1">
      <alignment horizontal="center"/>
    </xf>
    <xf numFmtId="167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1" fontId="0" fillId="0" borderId="0" xfId="0" applyNumberFormat="1"/>
    <xf numFmtId="1" fontId="0" fillId="0" borderId="0" xfId="0" applyNumberFormat="1"/>
    <xf numFmtId="165" fontId="0" fillId="0" borderId="0" xfId="0" applyNumberFormat="1" applyAlignment="1">
      <alignment horizontal="center"/>
    </xf>
    <xf numFmtId="167" fontId="7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64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Q84"/>
  <sheetViews>
    <sheetView view="pageLayout" workbookViewId="0">
      <selection activeCell="C49" sqref="C49"/>
    </sheetView>
  </sheetViews>
  <sheetFormatPr baseColWidth="10" defaultRowHeight="13"/>
  <cols>
    <col min="1" max="1" width="22.42578125" customWidth="1"/>
    <col min="2" max="2" width="9.42578125" customWidth="1"/>
    <col min="3" max="3" width="14.28515625" bestFit="1" customWidth="1"/>
    <col min="4" max="4" width="14.28515625" customWidth="1"/>
    <col min="5" max="5" width="22.7109375" bestFit="1" customWidth="1"/>
    <col min="6" max="6" width="4.28515625" customWidth="1"/>
    <col min="7" max="9" width="12.7109375" customWidth="1"/>
    <col min="10" max="10" width="11.42578125" bestFit="1" customWidth="1"/>
    <col min="11" max="11" width="8.42578125" customWidth="1"/>
    <col min="12" max="12" width="13.42578125" bestFit="1" customWidth="1"/>
    <col min="13" max="13" width="12.5703125" bestFit="1" customWidth="1"/>
    <col min="16" max="16" width="11.28515625" bestFit="1" customWidth="1"/>
    <col min="17" max="17" width="11.28515625" customWidth="1"/>
    <col min="18" max="18" width="11.42578125" customWidth="1"/>
  </cols>
  <sheetData>
    <row r="1" spans="1:17">
      <c r="A1" s="5" t="s">
        <v>182</v>
      </c>
      <c r="B1" s="5"/>
      <c r="C1" s="5" t="s">
        <v>1</v>
      </c>
      <c r="D1" s="5" t="s">
        <v>44</v>
      </c>
      <c r="E1" s="5" t="s">
        <v>182</v>
      </c>
      <c r="F1" s="5"/>
      <c r="G1" s="5" t="s">
        <v>20</v>
      </c>
      <c r="H1" s="5" t="s">
        <v>20</v>
      </c>
      <c r="I1" s="5"/>
      <c r="O1" s="1"/>
      <c r="P1" s="1"/>
      <c r="Q1" s="1"/>
    </row>
    <row r="2" spans="1:17">
      <c r="A2" s="5" t="s">
        <v>243</v>
      </c>
      <c r="B2" s="5"/>
      <c r="C2" s="5" t="s">
        <v>2</v>
      </c>
      <c r="D2" s="5" t="s">
        <v>80</v>
      </c>
      <c r="E2" s="5" t="s">
        <v>243</v>
      </c>
      <c r="F2" s="5"/>
      <c r="G2" s="5" t="s">
        <v>17</v>
      </c>
      <c r="H2" s="46" t="s">
        <v>75</v>
      </c>
      <c r="I2" s="5"/>
      <c r="O2" s="1"/>
      <c r="P2" s="1"/>
      <c r="Q2" s="1"/>
    </row>
    <row r="3" spans="1:17">
      <c r="A3" s="5" t="s">
        <v>244</v>
      </c>
      <c r="B3" s="5"/>
      <c r="C3" s="5" t="s">
        <v>81</v>
      </c>
      <c r="D3" s="5" t="s">
        <v>82</v>
      </c>
      <c r="E3" s="5" t="s">
        <v>244</v>
      </c>
      <c r="F3" s="5"/>
      <c r="G3" s="5" t="s">
        <v>171</v>
      </c>
      <c r="H3" s="5" t="s">
        <v>172</v>
      </c>
      <c r="I3" s="5"/>
      <c r="O3" s="1"/>
      <c r="P3" s="1"/>
      <c r="Q3" s="1"/>
    </row>
    <row r="4" spans="1:17">
      <c r="A4" s="5" t="s">
        <v>245</v>
      </c>
      <c r="B4" s="1" t="s">
        <v>131</v>
      </c>
      <c r="C4" s="5">
        <v>7690</v>
      </c>
      <c r="D4" s="5">
        <v>9922</v>
      </c>
      <c r="E4" s="5" t="s">
        <v>245</v>
      </c>
      <c r="F4" s="1" t="s">
        <v>131</v>
      </c>
      <c r="G4" s="6">
        <v>39990</v>
      </c>
      <c r="H4" s="6">
        <v>31140</v>
      </c>
      <c r="I4" s="6"/>
      <c r="O4" s="1"/>
      <c r="P4" s="1"/>
      <c r="Q4" s="1"/>
    </row>
    <row r="5" spans="1:17">
      <c r="A5" s="5" t="s">
        <v>246</v>
      </c>
      <c r="B5" s="1" t="s">
        <v>131</v>
      </c>
      <c r="C5" s="6">
        <f>C4*0.1</f>
        <v>769</v>
      </c>
      <c r="D5" s="6">
        <f>D4*0.1</f>
        <v>992.2</v>
      </c>
      <c r="E5" s="5" t="s">
        <v>246</v>
      </c>
      <c r="F5" s="1" t="s">
        <v>131</v>
      </c>
      <c r="G5" s="6">
        <f>G4*0.1</f>
        <v>3999</v>
      </c>
      <c r="H5" s="6">
        <f>H4*0.1</f>
        <v>3114</v>
      </c>
      <c r="I5" s="6"/>
      <c r="O5" s="1"/>
      <c r="P5" s="1"/>
      <c r="Q5" s="1"/>
    </row>
    <row r="6" spans="1:17">
      <c r="A6" s="46" t="s">
        <v>90</v>
      </c>
      <c r="B6" s="1" t="s">
        <v>131</v>
      </c>
      <c r="C6" s="6">
        <f>(C4+C5)/(1+B41)</f>
        <v>8459</v>
      </c>
      <c r="D6" s="6">
        <f>(D4+D5)*(1+B41)</f>
        <v>10914.2</v>
      </c>
      <c r="E6" s="5" t="s">
        <v>55</v>
      </c>
      <c r="F6" s="1" t="s">
        <v>131</v>
      </c>
      <c r="G6" s="6">
        <f>(G4+G5)/(1+B41)</f>
        <v>43989</v>
      </c>
      <c r="H6" s="6">
        <f>(H4+H5)*(1+B41)</f>
        <v>34254</v>
      </c>
      <c r="I6" s="6"/>
      <c r="O6" s="1"/>
      <c r="P6" s="1"/>
      <c r="Q6" s="1"/>
    </row>
    <row r="7" spans="1:17">
      <c r="A7" s="5"/>
      <c r="B7" s="5"/>
      <c r="C7" s="6"/>
      <c r="D7" s="6"/>
      <c r="E7" s="5"/>
      <c r="F7" s="5"/>
      <c r="G7" s="6"/>
      <c r="H7" s="6"/>
      <c r="I7" s="6"/>
      <c r="O7" s="1"/>
      <c r="P7" s="1"/>
      <c r="Q7" s="1"/>
    </row>
    <row r="8" spans="1:17">
      <c r="A8" s="5" t="s">
        <v>133</v>
      </c>
      <c r="B8" s="5"/>
      <c r="C8" s="5">
        <v>0</v>
      </c>
      <c r="D8" s="5">
        <v>104</v>
      </c>
      <c r="E8" s="5" t="s">
        <v>133</v>
      </c>
      <c r="F8" s="5"/>
      <c r="G8" s="5">
        <v>13</v>
      </c>
      <c r="H8" s="5">
        <v>103</v>
      </c>
      <c r="I8" s="5"/>
      <c r="O8" s="1"/>
      <c r="P8" s="1"/>
      <c r="Q8" s="1"/>
    </row>
    <row r="9" spans="1:17">
      <c r="A9" s="5" t="s">
        <v>66</v>
      </c>
      <c r="B9" s="5"/>
      <c r="C9" s="5">
        <v>17</v>
      </c>
      <c r="D9" s="5">
        <v>61</v>
      </c>
      <c r="E9" s="5" t="s">
        <v>66</v>
      </c>
      <c r="F9" s="5"/>
      <c r="G9" s="5">
        <v>170</v>
      </c>
      <c r="H9" s="5">
        <v>190</v>
      </c>
      <c r="I9" s="5"/>
      <c r="O9" s="1"/>
      <c r="P9" s="1"/>
      <c r="Q9" s="1"/>
    </row>
    <row r="10" spans="1:17">
      <c r="A10" s="5" t="s">
        <v>228</v>
      </c>
      <c r="B10" s="5"/>
      <c r="C10" s="5">
        <v>0</v>
      </c>
      <c r="D10" s="5">
        <v>999</v>
      </c>
      <c r="E10" s="5" t="s">
        <v>228</v>
      </c>
      <c r="F10" s="5"/>
      <c r="G10" s="5">
        <v>647</v>
      </c>
      <c r="H10" s="5">
        <v>1998</v>
      </c>
      <c r="I10" s="5"/>
      <c r="O10" s="1"/>
      <c r="P10" s="1"/>
      <c r="Q10" s="1"/>
    </row>
    <row r="11" spans="1:17">
      <c r="A11" s="5" t="s">
        <v>140</v>
      </c>
      <c r="B11" s="5"/>
      <c r="C11" s="46" t="s">
        <v>91</v>
      </c>
      <c r="D11" s="5" t="s">
        <v>184</v>
      </c>
      <c r="E11" s="5" t="s">
        <v>140</v>
      </c>
      <c r="F11" s="5"/>
      <c r="G11" s="5" t="s">
        <v>18</v>
      </c>
      <c r="H11" s="46" t="s">
        <v>76</v>
      </c>
      <c r="I11" s="5"/>
      <c r="O11" s="1"/>
      <c r="P11" s="1"/>
      <c r="Q11" s="1"/>
    </row>
    <row r="12" spans="1:17">
      <c r="A12" s="5"/>
      <c r="B12" s="5"/>
      <c r="C12" s="5"/>
      <c r="D12" s="5"/>
      <c r="E12" s="5"/>
      <c r="F12" s="5"/>
      <c r="G12" s="5"/>
      <c r="H12" s="5"/>
      <c r="I12" s="5"/>
      <c r="O12" s="1"/>
      <c r="P12" s="1"/>
      <c r="Q12" s="1"/>
    </row>
    <row r="13" spans="1:17">
      <c r="A13" s="5" t="s">
        <v>141</v>
      </c>
      <c r="B13" s="1" t="s">
        <v>131</v>
      </c>
      <c r="C13" s="5">
        <f>61.5</f>
        <v>61.5</v>
      </c>
      <c r="D13" s="5">
        <f>61.5</f>
        <v>61.5</v>
      </c>
      <c r="E13" s="5" t="s">
        <v>185</v>
      </c>
      <c r="F13" s="1" t="s">
        <v>131</v>
      </c>
      <c r="G13" s="58">
        <f>61.5</f>
        <v>61.5</v>
      </c>
      <c r="H13" s="46">
        <f>123</f>
        <v>123</v>
      </c>
      <c r="I13" s="5"/>
      <c r="O13" s="1"/>
      <c r="P13" s="1"/>
      <c r="Q13" s="1"/>
    </row>
    <row r="14" spans="1:17">
      <c r="A14" s="5" t="s">
        <v>9</v>
      </c>
      <c r="B14" s="1" t="s">
        <v>131</v>
      </c>
      <c r="C14" s="46">
        <v>76.959999999999994</v>
      </c>
      <c r="D14" s="60">
        <f>96.3</f>
        <v>96.3</v>
      </c>
      <c r="E14" s="5" t="s">
        <v>9</v>
      </c>
      <c r="F14" s="1" t="s">
        <v>131</v>
      </c>
      <c r="G14" s="5">
        <v>76.959999999999994</v>
      </c>
      <c r="H14" s="46">
        <f>310.33</f>
        <v>310.33</v>
      </c>
      <c r="I14" s="5"/>
      <c r="O14" s="1"/>
      <c r="P14" s="1"/>
      <c r="Q14" s="1"/>
    </row>
    <row r="15" spans="1:17">
      <c r="A15" s="48"/>
      <c r="B15" s="47"/>
      <c r="C15" s="48"/>
      <c r="D15" s="48"/>
      <c r="E15" s="48"/>
      <c r="F15" s="47"/>
      <c r="G15" s="48"/>
      <c r="H15" s="48"/>
      <c r="I15" s="48"/>
      <c r="O15" s="47"/>
      <c r="P15" s="47"/>
      <c r="Q15" s="47"/>
    </row>
    <row r="16" spans="1:17">
      <c r="A16" s="48" t="s">
        <v>247</v>
      </c>
      <c r="B16" s="47" t="s">
        <v>131</v>
      </c>
      <c r="C16" s="48">
        <f>(12*10)</f>
        <v>120</v>
      </c>
      <c r="D16" s="48">
        <f>(14*12)</f>
        <v>168</v>
      </c>
      <c r="E16" s="48" t="s">
        <v>247</v>
      </c>
      <c r="F16" s="47" t="s">
        <v>131</v>
      </c>
      <c r="G16" s="48">
        <f>(44.95*12)</f>
        <v>539.40000000000009</v>
      </c>
      <c r="H16" s="48">
        <f>(43.49*12)</f>
        <v>521.88</v>
      </c>
      <c r="I16" s="48"/>
      <c r="O16" s="47"/>
      <c r="P16" s="47"/>
      <c r="Q16" s="47"/>
    </row>
    <row r="17" spans="1:17">
      <c r="A17" s="48"/>
      <c r="B17" s="47"/>
      <c r="C17" s="48"/>
      <c r="D17" s="48"/>
      <c r="E17" s="48"/>
      <c r="F17" s="47"/>
      <c r="G17" s="48"/>
      <c r="H17" s="48"/>
      <c r="I17" s="48"/>
      <c r="O17" s="47"/>
      <c r="P17" s="47"/>
      <c r="Q17" s="47"/>
    </row>
    <row r="18" spans="1:17">
      <c r="A18" s="5" t="s">
        <v>229</v>
      </c>
      <c r="B18" s="5"/>
      <c r="C18" s="5">
        <f>0*1.2</f>
        <v>0</v>
      </c>
      <c r="D18" s="5">
        <f>4.5*(1+B40)</f>
        <v>5.3999999999999995</v>
      </c>
      <c r="E18" s="5" t="s">
        <v>229</v>
      </c>
      <c r="F18" s="5"/>
      <c r="G18" s="5">
        <v>0.6</v>
      </c>
      <c r="H18" s="5">
        <f>(1+B40)*3.9</f>
        <v>4.68</v>
      </c>
      <c r="I18" s="5"/>
      <c r="O18" s="1"/>
      <c r="P18" s="1"/>
      <c r="Q18" s="1"/>
    </row>
    <row r="19" spans="1:17">
      <c r="A19" s="62" t="s">
        <v>128</v>
      </c>
      <c r="B19" s="5"/>
      <c r="C19" s="5">
        <f>6.3*(1+B40)</f>
        <v>7.56</v>
      </c>
      <c r="D19" s="5">
        <v>0</v>
      </c>
      <c r="E19" s="62" t="s">
        <v>128</v>
      </c>
      <c r="F19" s="5"/>
      <c r="G19" s="5">
        <f>12.9*(1+B40)</f>
        <v>15.48</v>
      </c>
      <c r="H19" s="5">
        <v>0</v>
      </c>
      <c r="I19" s="5"/>
      <c r="O19" s="1"/>
      <c r="P19" s="1"/>
      <c r="Q19" s="1"/>
    </row>
    <row r="20" spans="1:17" ht="13" customHeight="1">
      <c r="A20" s="5"/>
      <c r="B20" s="5"/>
      <c r="C20" s="5"/>
      <c r="D20" s="5"/>
      <c r="E20" s="5"/>
      <c r="F20" s="5"/>
      <c r="G20" s="5"/>
      <c r="H20" s="5"/>
      <c r="I20" s="5"/>
      <c r="O20" s="1"/>
      <c r="P20" s="1"/>
      <c r="Q20" s="1"/>
    </row>
    <row r="21" spans="1:17">
      <c r="A21" s="5" t="s">
        <v>116</v>
      </c>
      <c r="B21" s="1" t="s">
        <v>131</v>
      </c>
      <c r="C21" s="5">
        <f>C18*$A$37</f>
        <v>0</v>
      </c>
      <c r="D21" s="22">
        <f>D18*$A$37</f>
        <v>8.1917999999999989</v>
      </c>
      <c r="E21" s="5" t="s">
        <v>116</v>
      </c>
      <c r="F21" s="1" t="s">
        <v>131</v>
      </c>
      <c r="G21" s="22">
        <f>G18*$A$37</f>
        <v>0.9101999999999999</v>
      </c>
      <c r="H21" s="5">
        <f>H18*$A$37</f>
        <v>7.0995599999999994</v>
      </c>
      <c r="I21" s="5"/>
      <c r="O21" s="1"/>
      <c r="P21" s="1"/>
      <c r="Q21" s="1"/>
    </row>
    <row r="22" spans="1:17">
      <c r="A22" s="5" t="s">
        <v>117</v>
      </c>
      <c r="B22" s="1" t="s">
        <v>131</v>
      </c>
      <c r="C22" s="22">
        <f>C19*$C$37</f>
        <v>0.64033200000000001</v>
      </c>
      <c r="D22" s="5">
        <f t="shared" ref="D22:H22" si="0">D19*$C$37</f>
        <v>0</v>
      </c>
      <c r="E22" s="5" t="s">
        <v>117</v>
      </c>
      <c r="F22" s="1" t="s">
        <v>131</v>
      </c>
      <c r="G22" s="22">
        <f>G19*$C$37</f>
        <v>1.3111560000000002</v>
      </c>
      <c r="H22" s="5">
        <f t="shared" si="0"/>
        <v>0</v>
      </c>
      <c r="I22" s="5"/>
      <c r="O22" s="1"/>
      <c r="P22" s="1"/>
      <c r="Q22" s="1"/>
    </row>
    <row r="23" spans="1:17">
      <c r="A23" s="5"/>
      <c r="B23" s="5"/>
      <c r="C23" s="5"/>
      <c r="D23" s="5"/>
      <c r="E23" s="5"/>
      <c r="F23" s="5"/>
      <c r="G23" s="5"/>
      <c r="H23" s="5"/>
      <c r="I23" s="5"/>
      <c r="O23" s="1"/>
      <c r="P23" s="1"/>
      <c r="Q23" s="1"/>
    </row>
    <row r="24" spans="1:17">
      <c r="A24" s="48" t="s">
        <v>249</v>
      </c>
      <c r="B24" s="1" t="s">
        <v>131</v>
      </c>
      <c r="C24" s="22">
        <f>(C21+C22)*(B38/100)+(12*B33)</f>
        <v>728.06640000000004</v>
      </c>
      <c r="D24" s="22">
        <f>(D21+D22)*(B38/100)</f>
        <v>1638.3599999999997</v>
      </c>
      <c r="E24" s="48" t="s">
        <v>248</v>
      </c>
      <c r="F24" s="1" t="s">
        <v>131</v>
      </c>
      <c r="G24" s="22">
        <f>(G21+G22)*(B38/100)</f>
        <v>444.27120000000002</v>
      </c>
      <c r="H24" s="22">
        <f>(H21+H22)*(B38/100)</f>
        <v>1419.9119999999998</v>
      </c>
      <c r="I24" s="5"/>
      <c r="O24" s="1"/>
      <c r="P24" s="1"/>
      <c r="Q24" s="1"/>
    </row>
    <row r="25" spans="1:17">
      <c r="A25" s="67"/>
      <c r="B25" s="47"/>
      <c r="C25" s="22"/>
      <c r="D25" s="22"/>
      <c r="E25" s="48"/>
      <c r="F25" s="47"/>
      <c r="G25" s="22"/>
      <c r="H25" s="22"/>
      <c r="I25" s="48"/>
      <c r="O25" s="47"/>
      <c r="P25" s="47"/>
      <c r="Q25" s="47"/>
    </row>
    <row r="26" spans="1:17">
      <c r="A26" s="5" t="s">
        <v>149</v>
      </c>
      <c r="B26" s="1" t="s">
        <v>131</v>
      </c>
      <c r="C26" s="51">
        <f>(C24*B39)+C13+(C14*B39)+(C16*B39)</f>
        <v>3761.6056000000003</v>
      </c>
      <c r="D26" s="5">
        <f>(D24*B39)+D13+(D14*B39)+(D16*B39)</f>
        <v>7672.1399999999985</v>
      </c>
      <c r="E26" s="5" t="s">
        <v>63</v>
      </c>
      <c r="F26" s="1" t="s">
        <v>131</v>
      </c>
      <c r="G26" s="22">
        <f>(G24*B39)+G13+(G14*B39)+(B39*G16)</f>
        <v>4304.0248000000011</v>
      </c>
      <c r="H26" s="51">
        <f>(H24*B39)+H13+(H14*B39)+(H16*B39)</f>
        <v>9131.4879999999994</v>
      </c>
      <c r="I26" s="5"/>
      <c r="O26" s="1"/>
      <c r="P26" s="1"/>
      <c r="Q26" s="1"/>
    </row>
    <row r="27" spans="1:17">
      <c r="A27" s="5" t="s">
        <v>113</v>
      </c>
      <c r="B27" s="1" t="s">
        <v>131</v>
      </c>
      <c r="C27" s="5"/>
      <c r="D27" s="14">
        <f>D26-C26</f>
        <v>3910.5343999999982</v>
      </c>
      <c r="E27" s="5" t="s">
        <v>189</v>
      </c>
      <c r="F27" s="1" t="s">
        <v>131</v>
      </c>
      <c r="G27" s="5"/>
      <c r="H27" s="25">
        <f>H26-G26</f>
        <v>4827.4631999999983</v>
      </c>
      <c r="I27" s="8"/>
      <c r="O27" s="1"/>
      <c r="P27" s="1"/>
      <c r="Q27" s="1"/>
    </row>
    <row r="28" spans="1:17">
      <c r="A28" s="5"/>
      <c r="B28" s="5"/>
      <c r="C28" s="5"/>
      <c r="D28" s="8"/>
      <c r="E28" s="5"/>
      <c r="F28" s="5"/>
      <c r="G28" s="5"/>
      <c r="H28" s="8"/>
      <c r="I28" s="8"/>
      <c r="O28" s="1"/>
      <c r="P28" s="1"/>
      <c r="Q28" s="1"/>
    </row>
    <row r="29" spans="1:17">
      <c r="A29" s="5" t="s">
        <v>39</v>
      </c>
      <c r="B29" s="1" t="s">
        <v>131</v>
      </c>
      <c r="C29" s="6">
        <f>C6+C26</f>
        <v>12220.605600000001</v>
      </c>
      <c r="D29" s="6">
        <f>D6+D26</f>
        <v>18586.34</v>
      </c>
      <c r="E29" s="5" t="s">
        <v>39</v>
      </c>
      <c r="F29" s="1" t="s">
        <v>131</v>
      </c>
      <c r="G29" s="6">
        <f>G6+G26</f>
        <v>48293.024799999999</v>
      </c>
      <c r="H29" s="6">
        <f>H6+H26</f>
        <v>43385.487999999998</v>
      </c>
      <c r="I29" s="8"/>
      <c r="O29" s="1"/>
      <c r="P29" s="1"/>
      <c r="Q29" s="1"/>
    </row>
    <row r="30" spans="1:17">
      <c r="A30" s="5" t="s">
        <v>237</v>
      </c>
      <c r="B30" s="1" t="s">
        <v>131</v>
      </c>
      <c r="C30" s="5"/>
      <c r="D30" s="13">
        <f>D29-C29</f>
        <v>6365.7343999999994</v>
      </c>
      <c r="E30" s="5" t="s">
        <v>237</v>
      </c>
      <c r="F30" s="1" t="s">
        <v>131</v>
      </c>
      <c r="G30" s="5"/>
      <c r="H30" s="11">
        <f>H29-G29</f>
        <v>-4907.5368000000017</v>
      </c>
      <c r="I30" s="5"/>
      <c r="O30" s="1"/>
      <c r="P30" s="1"/>
      <c r="Q30" s="1"/>
    </row>
    <row r="31" spans="1:17">
      <c r="A31" s="5"/>
      <c r="B31" s="42"/>
      <c r="C31" s="5"/>
      <c r="D31" s="13"/>
      <c r="E31" s="5"/>
      <c r="F31" s="42"/>
      <c r="G31" s="5"/>
      <c r="H31" s="11"/>
      <c r="I31" s="5"/>
      <c r="O31" s="42"/>
      <c r="P31" s="42"/>
      <c r="Q31" s="42"/>
    </row>
    <row r="32" spans="1:17">
      <c r="A32" s="5"/>
      <c r="B32" s="5"/>
      <c r="C32" s="5"/>
      <c r="D32" s="13"/>
      <c r="E32" s="5"/>
      <c r="F32" s="5"/>
      <c r="G32" s="11"/>
      <c r="H32" s="5"/>
      <c r="N32" s="1"/>
      <c r="O32" s="1"/>
      <c r="P32" s="1"/>
    </row>
    <row r="33" spans="1:15">
      <c r="A33" s="46" t="s">
        <v>89</v>
      </c>
      <c r="B33" s="5">
        <v>50</v>
      </c>
      <c r="C33" s="13"/>
      <c r="D33" s="5"/>
      <c r="E33" s="5"/>
      <c r="F33" s="11"/>
      <c r="G33" s="5"/>
      <c r="M33" s="1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106" t="s">
        <v>49</v>
      </c>
      <c r="B35" s="107"/>
      <c r="H35" s="50"/>
    </row>
    <row r="36" spans="1:15">
      <c r="A36" t="s">
        <v>108</v>
      </c>
      <c r="B36" t="s">
        <v>109</v>
      </c>
      <c r="C36" s="106" t="s">
        <v>65</v>
      </c>
      <c r="D36" s="106"/>
      <c r="H36" s="50"/>
    </row>
    <row r="37" spans="1:15">
      <c r="A37" s="63">
        <f>(1+B42)*1.517</f>
        <v>1.5169999999999999</v>
      </c>
      <c r="B37" s="63">
        <f>(1+B42)*1.271</f>
        <v>1.2709999999999999</v>
      </c>
      <c r="C37" s="63">
        <f>0.07*1.21</f>
        <v>8.4700000000000011E-2</v>
      </c>
    </row>
    <row r="38" spans="1:15">
      <c r="A38" t="s">
        <v>190</v>
      </c>
      <c r="B38">
        <v>20000</v>
      </c>
    </row>
    <row r="39" spans="1:15">
      <c r="A39" t="s">
        <v>191</v>
      </c>
      <c r="B39">
        <v>4</v>
      </c>
      <c r="C39" s="63"/>
    </row>
    <row r="40" spans="1:15">
      <c r="A40" t="s">
        <v>181</v>
      </c>
      <c r="B40" s="10">
        <v>0.2</v>
      </c>
    </row>
    <row r="41" spans="1:15">
      <c r="A41" t="s">
        <v>48</v>
      </c>
      <c r="B41" s="10">
        <v>0</v>
      </c>
    </row>
    <row r="42" spans="1:15">
      <c r="A42" t="s">
        <v>119</v>
      </c>
      <c r="B42" s="4">
        <v>0</v>
      </c>
    </row>
    <row r="43" spans="1:15">
      <c r="B43" s="4"/>
    </row>
    <row r="44" spans="1:15">
      <c r="B44" s="1"/>
      <c r="C44" s="1"/>
    </row>
    <row r="45" spans="1:15">
      <c r="A45" t="s">
        <v>125</v>
      </c>
      <c r="B45" s="1"/>
      <c r="C45" s="1"/>
    </row>
    <row r="46" spans="1:15">
      <c r="A46" t="s">
        <v>126</v>
      </c>
      <c r="D46" s="1"/>
    </row>
    <row r="47" spans="1:15">
      <c r="A47" t="s">
        <v>96</v>
      </c>
      <c r="B47" s="1"/>
      <c r="C47" s="1"/>
    </row>
    <row r="48" spans="1:15">
      <c r="A48" t="s">
        <v>99</v>
      </c>
    </row>
    <row r="52" spans="1:10">
      <c r="A52" s="3"/>
    </row>
    <row r="53" spans="1:10">
      <c r="B53" t="s">
        <v>56</v>
      </c>
    </row>
    <row r="54" spans="1:10">
      <c r="A54" s="5" t="s">
        <v>182</v>
      </c>
      <c r="B54" s="5"/>
      <c r="C54" s="5" t="s">
        <v>10</v>
      </c>
      <c r="D54" s="5" t="s">
        <v>13</v>
      </c>
      <c r="E54" s="5" t="s">
        <v>182</v>
      </c>
      <c r="F54" s="5"/>
      <c r="G54" s="5" t="s">
        <v>19</v>
      </c>
      <c r="H54" s="5" t="s">
        <v>21</v>
      </c>
      <c r="I54" s="5" t="s">
        <v>64</v>
      </c>
      <c r="J54" s="1"/>
    </row>
    <row r="55" spans="1:10">
      <c r="A55" s="5" t="s">
        <v>243</v>
      </c>
      <c r="B55" s="5"/>
      <c r="C55" s="5" t="s">
        <v>12</v>
      </c>
      <c r="D55" s="5" t="s">
        <v>14</v>
      </c>
      <c r="E55" s="5" t="s">
        <v>243</v>
      </c>
      <c r="F55" s="5"/>
      <c r="G55" s="44" t="s">
        <v>40</v>
      </c>
      <c r="H55" s="5" t="s">
        <v>159</v>
      </c>
      <c r="I55" s="5" t="s">
        <v>161</v>
      </c>
      <c r="J55" s="1"/>
    </row>
    <row r="56" spans="1:10">
      <c r="A56" s="5" t="s">
        <v>244</v>
      </c>
      <c r="B56" s="5"/>
      <c r="C56" s="5" t="s">
        <v>170</v>
      </c>
      <c r="D56" s="5" t="s">
        <v>169</v>
      </c>
      <c r="E56" s="5" t="s">
        <v>244</v>
      </c>
      <c r="F56" s="5"/>
      <c r="G56" s="5" t="s">
        <v>38</v>
      </c>
      <c r="H56" s="5" t="s">
        <v>84</v>
      </c>
      <c r="I56" s="5" t="s">
        <v>172</v>
      </c>
      <c r="J56" s="1"/>
    </row>
    <row r="57" spans="1:10">
      <c r="A57" s="5" t="s">
        <v>245</v>
      </c>
      <c r="B57" s="1" t="s">
        <v>131</v>
      </c>
      <c r="C57" s="6">
        <v>24780</v>
      </c>
      <c r="D57" s="6">
        <v>24600</v>
      </c>
      <c r="E57" s="5" t="s">
        <v>245</v>
      </c>
      <c r="F57" s="1" t="s">
        <v>131</v>
      </c>
      <c r="G57" s="6">
        <v>82800</v>
      </c>
      <c r="H57" s="6">
        <v>82038</v>
      </c>
      <c r="I57" s="6">
        <v>82038</v>
      </c>
      <c r="J57" s="1"/>
    </row>
    <row r="58" spans="1:10">
      <c r="A58" s="5" t="s">
        <v>246</v>
      </c>
      <c r="B58" s="1" t="s">
        <v>131</v>
      </c>
      <c r="C58" s="6">
        <f>C57*0.1</f>
        <v>2478</v>
      </c>
      <c r="D58" s="6">
        <f>D57*0.1</f>
        <v>2460</v>
      </c>
      <c r="E58" s="5" t="s">
        <v>246</v>
      </c>
      <c r="F58" s="1" t="s">
        <v>131</v>
      </c>
      <c r="G58" s="6">
        <f>G57*0.1</f>
        <v>8280</v>
      </c>
      <c r="H58" s="6">
        <f>H57*0.1</f>
        <v>8203.8000000000011</v>
      </c>
      <c r="I58" s="6">
        <f>I57*0.1</f>
        <v>8203.8000000000011</v>
      </c>
      <c r="J58" s="1"/>
    </row>
    <row r="59" spans="1:10">
      <c r="A59" s="5" t="s">
        <v>55</v>
      </c>
      <c r="B59" s="1" t="s">
        <v>131</v>
      </c>
      <c r="C59" s="6">
        <f>(C57+C58)/(1+B41)</f>
        <v>27258</v>
      </c>
      <c r="D59" s="6">
        <f>(D57+D58)*(1+B41)</f>
        <v>27060</v>
      </c>
      <c r="E59" s="5" t="s">
        <v>55</v>
      </c>
      <c r="F59" s="1" t="s">
        <v>131</v>
      </c>
      <c r="G59" s="6">
        <f>(G57+G58)/(1+B41)</f>
        <v>91080</v>
      </c>
      <c r="H59" s="6">
        <f>(H57+H58)/(1+B41)</f>
        <v>90241.8</v>
      </c>
      <c r="I59" s="6">
        <f>(I57+I58)*(1+B41)</f>
        <v>90241.8</v>
      </c>
      <c r="J59" s="1"/>
    </row>
    <row r="60" spans="1:10">
      <c r="A60" s="5"/>
      <c r="B60" s="5"/>
      <c r="C60" s="6"/>
      <c r="D60" s="6"/>
      <c r="E60" s="5"/>
      <c r="F60" s="5"/>
      <c r="G60" s="6"/>
      <c r="H60" s="6"/>
      <c r="I60" s="6"/>
      <c r="J60" s="1"/>
    </row>
    <row r="61" spans="1:10">
      <c r="A61" s="5" t="s">
        <v>133</v>
      </c>
      <c r="B61" s="5"/>
      <c r="C61" s="5">
        <v>82</v>
      </c>
      <c r="D61" s="5">
        <v>123</v>
      </c>
      <c r="E61" s="5" t="s">
        <v>133</v>
      </c>
      <c r="F61" s="5"/>
      <c r="G61" s="5">
        <v>0</v>
      </c>
      <c r="H61" s="5">
        <v>115</v>
      </c>
      <c r="I61" s="5">
        <v>146</v>
      </c>
      <c r="J61" s="1"/>
    </row>
    <row r="62" spans="1:10">
      <c r="A62" s="5" t="s">
        <v>66</v>
      </c>
      <c r="B62" s="5"/>
      <c r="C62" s="5">
        <v>136</v>
      </c>
      <c r="D62" s="5">
        <v>122</v>
      </c>
      <c r="E62" s="5" t="s">
        <v>66</v>
      </c>
      <c r="F62" s="5"/>
      <c r="G62" s="5">
        <v>367</v>
      </c>
      <c r="H62" s="5">
        <v>231</v>
      </c>
      <c r="I62" s="5">
        <v>258</v>
      </c>
      <c r="J62" s="1"/>
    </row>
    <row r="63" spans="1:10">
      <c r="A63" s="5" t="s">
        <v>228</v>
      </c>
      <c r="B63" s="5"/>
      <c r="C63" s="5">
        <v>1798</v>
      </c>
      <c r="D63" s="5">
        <v>1395</v>
      </c>
      <c r="E63" s="5" t="s">
        <v>228</v>
      </c>
      <c r="F63" s="5"/>
      <c r="G63" s="5">
        <v>0</v>
      </c>
      <c r="H63" s="5">
        <v>2143</v>
      </c>
      <c r="I63" s="5">
        <v>2987</v>
      </c>
      <c r="J63" s="1"/>
    </row>
    <row r="64" spans="1:10">
      <c r="A64" s="5" t="s">
        <v>140</v>
      </c>
      <c r="B64" s="5"/>
      <c r="C64" s="5" t="s">
        <v>15</v>
      </c>
      <c r="D64" s="5" t="s">
        <v>16</v>
      </c>
      <c r="E64" s="5" t="s">
        <v>140</v>
      </c>
      <c r="F64" s="5"/>
      <c r="G64" s="5" t="s">
        <v>160</v>
      </c>
      <c r="H64" s="5" t="s">
        <v>83</v>
      </c>
      <c r="I64" s="5" t="s">
        <v>183</v>
      </c>
      <c r="J64" s="1"/>
    </row>
    <row r="65" spans="1:10">
      <c r="A65" s="5"/>
      <c r="B65" s="5"/>
      <c r="C65" s="5"/>
      <c r="D65" s="5"/>
      <c r="E65" s="5"/>
      <c r="F65" s="5"/>
      <c r="G65" s="5"/>
      <c r="H65" s="5"/>
      <c r="I65" s="5"/>
      <c r="J65" s="1"/>
    </row>
    <row r="66" spans="1:10">
      <c r="A66" s="5" t="s">
        <v>185</v>
      </c>
      <c r="B66" s="1" t="s">
        <v>131</v>
      </c>
      <c r="C66" s="5">
        <f>123</f>
        <v>123</v>
      </c>
      <c r="D66" s="5">
        <f>61.5</f>
        <v>61.5</v>
      </c>
      <c r="E66" s="5" t="s">
        <v>185</v>
      </c>
      <c r="F66" s="1" t="s">
        <v>131</v>
      </c>
      <c r="G66" s="65">
        <f>61.5</f>
        <v>61.5</v>
      </c>
      <c r="H66" s="5">
        <f>495</f>
        <v>495</v>
      </c>
      <c r="I66" s="5">
        <f>1339</f>
        <v>1339</v>
      </c>
      <c r="J66" s="1"/>
    </row>
    <row r="67" spans="1:10">
      <c r="A67" s="5" t="s">
        <v>9</v>
      </c>
      <c r="B67" s="1" t="s">
        <v>131</v>
      </c>
      <c r="C67" s="5">
        <f>310.33</f>
        <v>310.33</v>
      </c>
      <c r="D67" s="5">
        <f>224.93</f>
        <v>224.93</v>
      </c>
      <c r="E67" s="5" t="s">
        <v>9</v>
      </c>
      <c r="F67" s="1" t="s">
        <v>131</v>
      </c>
      <c r="G67" s="5">
        <v>76.959999999999994</v>
      </c>
      <c r="H67" s="5">
        <v>402.73</v>
      </c>
      <c r="I67" s="5">
        <f>772.2</f>
        <v>772.2</v>
      </c>
      <c r="J67" s="1"/>
    </row>
    <row r="68" spans="1:10">
      <c r="A68" s="48"/>
      <c r="B68" s="47"/>
      <c r="C68" s="48"/>
      <c r="D68" s="48"/>
      <c r="E68" s="48"/>
      <c r="F68" s="47"/>
      <c r="G68" s="48"/>
      <c r="H68" s="48"/>
      <c r="I68" s="48"/>
      <c r="J68" s="47"/>
    </row>
    <row r="69" spans="1:10">
      <c r="A69" s="48" t="s">
        <v>247</v>
      </c>
      <c r="B69" s="47" t="s">
        <v>131</v>
      </c>
      <c r="C69" s="48">
        <f>(35*12)</f>
        <v>420</v>
      </c>
      <c r="D69" s="48">
        <f>(45*12)</f>
        <v>540</v>
      </c>
      <c r="E69" s="48" t="s">
        <v>247</v>
      </c>
      <c r="F69" s="47" t="s">
        <v>131</v>
      </c>
      <c r="G69" s="48">
        <f>(2200/4)</f>
        <v>550</v>
      </c>
      <c r="H69" s="48">
        <f>(60*12)</f>
        <v>720</v>
      </c>
      <c r="I69" s="48">
        <f>(60*12)</f>
        <v>720</v>
      </c>
      <c r="J69" s="47"/>
    </row>
    <row r="70" spans="1:10">
      <c r="A70" s="5"/>
      <c r="B70" s="5"/>
      <c r="C70" s="5"/>
      <c r="D70" s="5"/>
      <c r="E70" s="48"/>
      <c r="F70" s="47"/>
      <c r="G70" s="48"/>
      <c r="H70" s="48"/>
      <c r="I70" s="48"/>
      <c r="J70" s="1"/>
    </row>
    <row r="71" spans="1:10">
      <c r="A71" s="5" t="s">
        <v>229</v>
      </c>
      <c r="B71" s="5"/>
      <c r="C71" s="5">
        <f>(1+B40)*3.5</f>
        <v>4.2</v>
      </c>
      <c r="D71" s="5">
        <f>(1+B40)*5.3</f>
        <v>6.3599999999999994</v>
      </c>
      <c r="E71" s="5" t="s">
        <v>229</v>
      </c>
      <c r="F71" s="5"/>
      <c r="G71" s="5">
        <v>0</v>
      </c>
      <c r="H71" s="5">
        <f>(1+B40)*4.4</f>
        <v>5.28</v>
      </c>
      <c r="I71" s="5">
        <f>(1+B40)*5.5</f>
        <v>6.6</v>
      </c>
      <c r="J71" s="5"/>
    </row>
    <row r="72" spans="1:10">
      <c r="A72" s="62" t="s">
        <v>128</v>
      </c>
      <c r="B72" s="5"/>
      <c r="C72" s="5">
        <v>0</v>
      </c>
      <c r="D72" s="5">
        <v>0</v>
      </c>
      <c r="E72" s="62" t="s">
        <v>68</v>
      </c>
      <c r="F72" s="5"/>
      <c r="G72" s="5">
        <f>15.8*(1+B40)</f>
        <v>18.96</v>
      </c>
      <c r="H72" s="5">
        <v>0</v>
      </c>
      <c r="I72" s="5">
        <v>0</v>
      </c>
      <c r="J72" s="1"/>
    </row>
    <row r="73" spans="1:10">
      <c r="A73" s="5"/>
      <c r="C73" s="5"/>
      <c r="D73" s="5"/>
      <c r="E73" s="5"/>
      <c r="F73" s="5"/>
      <c r="G73" s="5"/>
      <c r="H73" s="5"/>
      <c r="I73" s="5"/>
      <c r="J73" s="1"/>
    </row>
    <row r="74" spans="1:10">
      <c r="A74" s="5" t="s">
        <v>116</v>
      </c>
      <c r="B74" s="1" t="s">
        <v>131</v>
      </c>
      <c r="C74" s="22">
        <f>C71*$A$37</f>
        <v>6.3713999999999995</v>
      </c>
      <c r="D74" s="22">
        <f>D71*$A$37</f>
        <v>9.6481199999999987</v>
      </c>
      <c r="E74" s="5" t="s">
        <v>116</v>
      </c>
      <c r="F74" s="1" t="s">
        <v>131</v>
      </c>
      <c r="G74" s="5">
        <f>G71*$A$37</f>
        <v>0</v>
      </c>
      <c r="H74" s="22">
        <f>H71*$A$37</f>
        <v>8.00976</v>
      </c>
      <c r="I74" s="22">
        <f>I71*$A$37</f>
        <v>10.012199999999998</v>
      </c>
      <c r="J74" s="1"/>
    </row>
    <row r="75" spans="1:10">
      <c r="A75" s="5" t="s">
        <v>117</v>
      </c>
      <c r="B75" s="1" t="s">
        <v>131</v>
      </c>
      <c r="C75" s="5">
        <f>C72*$C$37</f>
        <v>0</v>
      </c>
      <c r="D75" s="5">
        <f>D72*$C$37</f>
        <v>0</v>
      </c>
      <c r="E75" s="5" t="s">
        <v>117</v>
      </c>
      <c r="F75" s="1" t="s">
        <v>131</v>
      </c>
      <c r="G75" s="22">
        <f>G72*$C$37</f>
        <v>1.6059120000000002</v>
      </c>
      <c r="H75" s="5">
        <f>H72*$C$37</f>
        <v>0</v>
      </c>
      <c r="I75" s="5">
        <f>I72*$C$37</f>
        <v>0</v>
      </c>
      <c r="J75" s="1"/>
    </row>
    <row r="76" spans="1:10">
      <c r="A76" s="5"/>
      <c r="C76" s="5"/>
      <c r="D76" s="5"/>
      <c r="E76" s="5"/>
      <c r="F76" s="5"/>
      <c r="G76" s="5"/>
      <c r="H76" s="5"/>
      <c r="I76" s="5"/>
      <c r="J76" s="1"/>
    </row>
    <row r="77" spans="1:10">
      <c r="A77" s="48" t="s">
        <v>248</v>
      </c>
      <c r="B77" s="1" t="s">
        <v>131</v>
      </c>
      <c r="C77" s="51">
        <f>(C74+C75)*(B38/100)</f>
        <v>1274.28</v>
      </c>
      <c r="D77" s="22">
        <f>(D74+D75)*(B38/100)</f>
        <v>1929.6239999999998</v>
      </c>
      <c r="E77" s="48" t="s">
        <v>248</v>
      </c>
      <c r="F77" s="1" t="s">
        <v>131</v>
      </c>
      <c r="G77" s="51">
        <f>(G74+G75)*(B38/100)</f>
        <v>321.18240000000003</v>
      </c>
      <c r="H77" s="51">
        <f>(H74+H75)*(B38/100)</f>
        <v>1601.952</v>
      </c>
      <c r="I77" s="51">
        <f>(I74+I75)*(B38/100)</f>
        <v>2002.4399999999996</v>
      </c>
      <c r="J77" s="1"/>
    </row>
    <row r="78" spans="1:10">
      <c r="A78" s="48"/>
      <c r="B78" s="47"/>
      <c r="C78" s="48"/>
      <c r="D78" s="22"/>
      <c r="E78" s="48"/>
      <c r="F78" s="47"/>
      <c r="G78" s="48"/>
      <c r="H78" s="48"/>
      <c r="I78" s="48"/>
      <c r="J78" s="47"/>
    </row>
    <row r="79" spans="1:10">
      <c r="A79" s="5" t="s">
        <v>63</v>
      </c>
      <c r="B79" s="1" t="s">
        <v>131</v>
      </c>
      <c r="C79" s="51">
        <f>(C77*B39)+C66+(C67*B39)+(C69*B39)</f>
        <v>8141.44</v>
      </c>
      <c r="D79" s="51">
        <f>(D77*B39)+D66+(D67*B39)+(D69*B39)</f>
        <v>10839.715999999999</v>
      </c>
      <c r="E79" s="5" t="s">
        <v>63</v>
      </c>
      <c r="F79" s="1" t="s">
        <v>131</v>
      </c>
      <c r="G79" s="51">
        <f>(G77*B39)+G66+(G67*B39)+(G69*B39)</f>
        <v>3854.0695999999998</v>
      </c>
      <c r="H79" s="51">
        <f>(H77*B39)+H66+(H67*B39)+(H69*B39)</f>
        <v>11393.727999999999</v>
      </c>
      <c r="I79" s="51">
        <f>(I77*B39)+I66+(I67*B39)+(I69*B39)</f>
        <v>15317.559999999998</v>
      </c>
      <c r="J79" s="1"/>
    </row>
    <row r="80" spans="1:10">
      <c r="A80" s="5" t="s">
        <v>189</v>
      </c>
      <c r="B80" s="1" t="s">
        <v>131</v>
      </c>
      <c r="C80" s="51"/>
      <c r="D80" s="25">
        <f>D79-C79</f>
        <v>2698.2759999999989</v>
      </c>
      <c r="E80" s="5" t="s">
        <v>189</v>
      </c>
      <c r="F80" s="1" t="s">
        <v>131</v>
      </c>
      <c r="G80" s="51"/>
      <c r="H80" s="25">
        <f>H79-G79</f>
        <v>7539.6583999999993</v>
      </c>
      <c r="I80" s="25">
        <f>I79-G79</f>
        <v>11463.490399999999</v>
      </c>
      <c r="J80" s="1"/>
    </row>
    <row r="81" spans="1:10">
      <c r="A81" s="5"/>
      <c r="C81" s="5"/>
      <c r="D81" s="8"/>
      <c r="E81" s="5"/>
      <c r="F81" s="5"/>
      <c r="G81" s="5"/>
      <c r="H81" s="8"/>
      <c r="I81" s="8"/>
      <c r="J81" s="1"/>
    </row>
    <row r="82" spans="1:10">
      <c r="A82" s="5" t="s">
        <v>39</v>
      </c>
      <c r="B82" s="1" t="s">
        <v>131</v>
      </c>
      <c r="C82" s="6">
        <f>C59+C79</f>
        <v>35399.440000000002</v>
      </c>
      <c r="D82" s="6">
        <f>D59+D79</f>
        <v>37899.716</v>
      </c>
      <c r="E82" s="5" t="s">
        <v>39</v>
      </c>
      <c r="F82" s="1" t="s">
        <v>131</v>
      </c>
      <c r="G82" s="6">
        <f>G59+G79</f>
        <v>94934.069600000003</v>
      </c>
      <c r="H82" s="6">
        <f>H59+H79</f>
        <v>101635.52800000001</v>
      </c>
      <c r="I82" s="6">
        <f>I59+I79</f>
        <v>105559.36</v>
      </c>
      <c r="J82" s="1"/>
    </row>
    <row r="83" spans="1:10">
      <c r="A83" s="5" t="s">
        <v>237</v>
      </c>
      <c r="B83" s="1" t="s">
        <v>131</v>
      </c>
      <c r="C83" s="5"/>
      <c r="D83" s="25">
        <f>D82-C82</f>
        <v>2500.275999999998</v>
      </c>
      <c r="E83" s="5" t="s">
        <v>237</v>
      </c>
      <c r="F83" s="1" t="s">
        <v>131</v>
      </c>
      <c r="G83" s="5"/>
      <c r="H83" s="13">
        <f>H82-G82</f>
        <v>6701.4584000000032</v>
      </c>
      <c r="I83" s="13">
        <f>I82-G82</f>
        <v>10625.290399999998</v>
      </c>
      <c r="J83" s="1"/>
    </row>
    <row r="84" spans="1:10">
      <c r="E84" s="5"/>
    </row>
  </sheetData>
  <mergeCells count="2">
    <mergeCell ref="A35:B35"/>
    <mergeCell ref="C36:D36"/>
  </mergeCells>
  <phoneticPr fontId="5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19"/>
  <sheetViews>
    <sheetView view="pageLayout" workbookViewId="0">
      <selection activeCell="E25" sqref="E25"/>
    </sheetView>
  </sheetViews>
  <sheetFormatPr baseColWidth="10" defaultRowHeight="13"/>
  <cols>
    <col min="1" max="1" width="11.7109375" customWidth="1"/>
    <col min="2" max="2" width="9.28515625" customWidth="1"/>
    <col min="3" max="3" width="10.5703125" customWidth="1"/>
    <col min="4" max="4" width="9" customWidth="1"/>
    <col min="5" max="5" width="9.85546875" customWidth="1"/>
    <col min="6" max="6" width="7.85546875" customWidth="1"/>
    <col min="7" max="7" width="9.140625" customWidth="1"/>
  </cols>
  <sheetData>
    <row r="1" spans="1:7">
      <c r="A1" s="107" t="s">
        <v>7</v>
      </c>
      <c r="B1" s="107"/>
      <c r="C1" s="107"/>
      <c r="D1" s="107"/>
      <c r="E1" s="107"/>
      <c r="F1" s="107"/>
      <c r="G1" s="107"/>
    </row>
    <row r="3" spans="1:7">
      <c r="B3" s="72" t="s">
        <v>8</v>
      </c>
      <c r="C3" s="72" t="s">
        <v>57</v>
      </c>
      <c r="D3" s="72" t="s">
        <v>58</v>
      </c>
      <c r="E3" s="72" t="s">
        <v>154</v>
      </c>
      <c r="F3" s="72" t="s">
        <v>59</v>
      </c>
      <c r="G3" s="72" t="s">
        <v>60</v>
      </c>
    </row>
    <row r="4" spans="1:7">
      <c r="A4" s="72" t="s">
        <v>61</v>
      </c>
      <c r="B4" s="87" t="s">
        <v>216</v>
      </c>
      <c r="C4" s="87" t="s">
        <v>211</v>
      </c>
      <c r="D4" s="87" t="s">
        <v>221</v>
      </c>
      <c r="E4" s="87" t="s">
        <v>255</v>
      </c>
      <c r="F4" s="87" t="s">
        <v>260</v>
      </c>
      <c r="G4" s="87" t="s">
        <v>265</v>
      </c>
    </row>
    <row r="5" spans="1:7">
      <c r="A5" s="72" t="s">
        <v>150</v>
      </c>
      <c r="B5" s="88" t="s">
        <v>217</v>
      </c>
      <c r="C5" s="87" t="s">
        <v>212</v>
      </c>
      <c r="D5" s="88" t="s">
        <v>253</v>
      </c>
      <c r="E5" s="88" t="s">
        <v>256</v>
      </c>
      <c r="F5" s="88" t="s">
        <v>261</v>
      </c>
      <c r="G5" s="88" t="s">
        <v>266</v>
      </c>
    </row>
    <row r="6" spans="1:7">
      <c r="A6" s="72" t="s">
        <v>151</v>
      </c>
      <c r="B6" s="87" t="s">
        <v>218</v>
      </c>
      <c r="C6" s="87" t="s">
        <v>214</v>
      </c>
      <c r="D6" s="87" t="s">
        <v>252</v>
      </c>
      <c r="E6" s="87" t="s">
        <v>257</v>
      </c>
      <c r="F6" s="87" t="s">
        <v>262</v>
      </c>
      <c r="G6" s="87" t="s">
        <v>267</v>
      </c>
    </row>
    <row r="7" spans="1:7">
      <c r="A7" s="72" t="s">
        <v>152</v>
      </c>
      <c r="B7" s="87" t="s">
        <v>219</v>
      </c>
      <c r="C7" s="87" t="s">
        <v>213</v>
      </c>
      <c r="D7" s="87" t="s">
        <v>251</v>
      </c>
      <c r="E7" s="87" t="s">
        <v>258</v>
      </c>
      <c r="F7" s="87" t="s">
        <v>263</v>
      </c>
      <c r="G7" s="87" t="s">
        <v>268</v>
      </c>
    </row>
    <row r="8" spans="1:7">
      <c r="A8" s="72" t="s">
        <v>153</v>
      </c>
      <c r="B8" s="87" t="s">
        <v>220</v>
      </c>
      <c r="C8" s="87" t="s">
        <v>215</v>
      </c>
      <c r="D8" s="87" t="s">
        <v>254</v>
      </c>
      <c r="E8" s="87" t="s">
        <v>259</v>
      </c>
      <c r="F8" s="87" t="s">
        <v>264</v>
      </c>
      <c r="G8" s="87" t="s">
        <v>269</v>
      </c>
    </row>
    <row r="13" spans="1:7">
      <c r="A13" s="103"/>
      <c r="B13" s="104"/>
      <c r="C13" s="104"/>
      <c r="D13" s="104" t="s">
        <v>37</v>
      </c>
      <c r="F13" s="106" t="s">
        <v>148</v>
      </c>
      <c r="G13" s="107"/>
    </row>
    <row r="14" spans="1:7">
      <c r="A14" s="107"/>
      <c r="B14" s="107"/>
      <c r="C14" s="107"/>
      <c r="D14" s="71"/>
      <c r="E14" s="103"/>
    </row>
    <row r="15" spans="1:7">
      <c r="A15" s="107" t="s">
        <v>137</v>
      </c>
      <c r="B15" s="107"/>
      <c r="C15" s="107"/>
      <c r="D15" s="101">
        <v>4271.8457263786304</v>
      </c>
      <c r="F15" s="95">
        <v>5656.1085470312764</v>
      </c>
    </row>
    <row r="16" spans="1:7">
      <c r="A16" s="107" t="s">
        <v>138</v>
      </c>
      <c r="B16" s="107"/>
      <c r="C16" s="107"/>
      <c r="D16" s="102" t="s">
        <v>62</v>
      </c>
      <c r="F16" s="100">
        <v>-4360.6944311702018</v>
      </c>
    </row>
    <row r="17" spans="1:6">
      <c r="A17" s="107" t="s">
        <v>139</v>
      </c>
      <c r="B17" s="107"/>
      <c r="C17" s="107"/>
      <c r="D17" s="101">
        <v>1633.927681116952</v>
      </c>
      <c r="F17" s="95">
        <v>2221.4663961626393</v>
      </c>
    </row>
    <row r="18" spans="1:6">
      <c r="A18" s="107" t="s">
        <v>196</v>
      </c>
      <c r="B18" s="107"/>
      <c r="C18" s="107"/>
      <c r="D18" s="101">
        <v>14589.845813823529</v>
      </c>
      <c r="F18" s="95">
        <v>5953.7517080830321</v>
      </c>
    </row>
    <row r="19" spans="1:6">
      <c r="A19" s="107" t="s">
        <v>197</v>
      </c>
      <c r="B19" s="107"/>
      <c r="C19" s="107"/>
      <c r="D19" s="101">
        <v>19051.827768456118</v>
      </c>
      <c r="F19" s="95">
        <v>9440.1748841041954</v>
      </c>
    </row>
  </sheetData>
  <mergeCells count="8">
    <mergeCell ref="A1:G1"/>
    <mergeCell ref="A14:C14"/>
    <mergeCell ref="A19:C19"/>
    <mergeCell ref="A18:C18"/>
    <mergeCell ref="A17:C17"/>
    <mergeCell ref="A16:C16"/>
    <mergeCell ref="A15:C15"/>
    <mergeCell ref="F13:G13"/>
  </mergeCells>
  <phoneticPr fontId="5" type="noConversion"/>
  <pageMargins left="0.75" right="0.75" top="1" bottom="1" header="0.5" footer="0.5"/>
  <pageSetup paperSize="10" orientation="portrait" horizontalDpi="4294967292" verticalDpi="4294967292"/>
  <ignoredErrors>
    <ignoredError sqref="B5:B8 D4:E4 B4:C4 D5:D8 C7:C8 C5:C6 F4:F8 G4:G8 D16 E5:E8" numberStoredAsText="1"/>
  </ignoredErrors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85"/>
  <sheetViews>
    <sheetView view="pageLayout" workbookViewId="0">
      <selection activeCell="G40" sqref="G40"/>
    </sheetView>
  </sheetViews>
  <sheetFormatPr baseColWidth="10" defaultRowHeight="13"/>
  <cols>
    <col min="1" max="1" width="20.42578125" customWidth="1"/>
    <col min="2" max="2" width="8.85546875" customWidth="1"/>
    <col min="3" max="4" width="19.7109375" customWidth="1"/>
    <col min="5" max="5" width="19.140625" bestFit="1" customWidth="1"/>
    <col min="6" max="6" width="6.28515625" customWidth="1"/>
    <col min="7" max="7" width="14.5703125" bestFit="1" customWidth="1"/>
    <col min="8" max="8" width="15.140625" bestFit="1" customWidth="1"/>
    <col min="9" max="9" width="13.42578125" bestFit="1" customWidth="1"/>
  </cols>
  <sheetData>
    <row r="1" spans="1:9">
      <c r="A1" s="26" t="s">
        <v>134</v>
      </c>
      <c r="B1" s="27"/>
      <c r="C1" s="26" t="s">
        <v>1</v>
      </c>
      <c r="D1" s="26" t="s">
        <v>44</v>
      </c>
      <c r="E1" s="26" t="s">
        <v>134</v>
      </c>
      <c r="F1" s="27"/>
      <c r="G1" s="26" t="s">
        <v>20</v>
      </c>
      <c r="H1" s="26" t="s">
        <v>20</v>
      </c>
      <c r="I1" s="1"/>
    </row>
    <row r="2" spans="1:9">
      <c r="A2" s="1" t="s">
        <v>193</v>
      </c>
      <c r="C2" s="1" t="s">
        <v>2</v>
      </c>
      <c r="D2" s="1" t="s">
        <v>80</v>
      </c>
      <c r="E2" s="1" t="s">
        <v>193</v>
      </c>
      <c r="G2" s="1" t="s">
        <v>17</v>
      </c>
      <c r="H2" s="45" t="s">
        <v>227</v>
      </c>
      <c r="I2" s="1"/>
    </row>
    <row r="3" spans="1:9">
      <c r="A3" s="1" t="s">
        <v>168</v>
      </c>
      <c r="C3" s="1" t="s">
        <v>81</v>
      </c>
      <c r="D3" s="1" t="s">
        <v>82</v>
      </c>
      <c r="E3" s="1" t="s">
        <v>168</v>
      </c>
      <c r="G3" s="1" t="s">
        <v>171</v>
      </c>
      <c r="H3" s="1" t="s">
        <v>172</v>
      </c>
      <c r="I3" s="1"/>
    </row>
    <row r="4" spans="1:9">
      <c r="A4" s="1" t="s">
        <v>11</v>
      </c>
      <c r="B4" s="1" t="s">
        <v>110</v>
      </c>
      <c r="C4" s="1">
        <v>7690</v>
      </c>
      <c r="D4" s="1">
        <v>9922</v>
      </c>
      <c r="E4" s="1" t="s">
        <v>11</v>
      </c>
      <c r="F4" s="1" t="s">
        <v>110</v>
      </c>
      <c r="G4" s="2">
        <v>39990</v>
      </c>
      <c r="H4" s="6">
        <v>31140</v>
      </c>
      <c r="I4" s="1"/>
    </row>
    <row r="5" spans="1:9">
      <c r="A5" s="1" t="s">
        <v>0</v>
      </c>
      <c r="B5" s="1" t="s">
        <v>111</v>
      </c>
      <c r="C5" s="2">
        <f>C4*0.1</f>
        <v>769</v>
      </c>
      <c r="D5" s="2">
        <f>D4*0.1</f>
        <v>992.2</v>
      </c>
      <c r="E5" s="1" t="s">
        <v>0</v>
      </c>
      <c r="F5" s="1" t="s">
        <v>111</v>
      </c>
      <c r="G5" s="2">
        <f>G4*0.1</f>
        <v>3999</v>
      </c>
      <c r="H5" s="2">
        <f>H4*0.1</f>
        <v>3114</v>
      </c>
      <c r="I5" s="2"/>
    </row>
    <row r="6" spans="1:9">
      <c r="A6" s="1" t="s">
        <v>85</v>
      </c>
      <c r="B6" s="1" t="s">
        <v>112</v>
      </c>
      <c r="C6" s="2">
        <f>C4+C5</f>
        <v>8459</v>
      </c>
      <c r="D6" s="2">
        <f>D4+D5</f>
        <v>10914.2</v>
      </c>
      <c r="E6" s="1" t="s">
        <v>85</v>
      </c>
      <c r="F6" s="1" t="s">
        <v>112</v>
      </c>
      <c r="G6" s="2">
        <f>G4+G5</f>
        <v>43989</v>
      </c>
      <c r="H6" s="2">
        <f>H4+H5</f>
        <v>34254</v>
      </c>
      <c r="I6" s="2"/>
    </row>
    <row r="7" spans="1:9">
      <c r="A7" s="1" t="s">
        <v>114</v>
      </c>
      <c r="B7" s="1" t="s">
        <v>115</v>
      </c>
      <c r="C7" s="18">
        <f>C6/1.21</f>
        <v>6990.909090909091</v>
      </c>
      <c r="D7" s="18">
        <f>D6/1.21</f>
        <v>9020</v>
      </c>
      <c r="E7" s="1" t="s">
        <v>114</v>
      </c>
      <c r="F7" s="1" t="s">
        <v>115</v>
      </c>
      <c r="G7" s="18">
        <f t="shared" ref="G7:H7" si="0">G6/1.21</f>
        <v>36354.545454545456</v>
      </c>
      <c r="H7" s="18">
        <f t="shared" si="0"/>
        <v>28309.090909090912</v>
      </c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 t="s">
        <v>240</v>
      </c>
      <c r="B9" s="1"/>
      <c r="C9" s="7">
        <v>1.2</v>
      </c>
      <c r="D9" s="7">
        <v>0.9</v>
      </c>
      <c r="E9" s="28" t="s">
        <v>43</v>
      </c>
      <c r="G9" s="7">
        <v>1</v>
      </c>
      <c r="H9" s="7">
        <v>0.9</v>
      </c>
      <c r="I9" s="1"/>
    </row>
    <row r="10" spans="1:9">
      <c r="A10" s="17" t="s">
        <v>107</v>
      </c>
      <c r="B10" s="17" t="s">
        <v>131</v>
      </c>
      <c r="C10" s="29">
        <f>(C6-C7)*C44</f>
        <v>954.2590909090909</v>
      </c>
      <c r="D10" s="29">
        <f>(D6-D7)*C44</f>
        <v>1231.2300000000005</v>
      </c>
      <c r="E10" s="17" t="s">
        <v>136</v>
      </c>
      <c r="F10" s="17" t="s">
        <v>131</v>
      </c>
      <c r="G10" s="30">
        <f>(G6-G7)*C44</f>
        <v>4962.3954545454535</v>
      </c>
      <c r="H10" s="30">
        <f>(H6-H7)*C44</f>
        <v>3864.1909090909076</v>
      </c>
      <c r="I10" s="17"/>
    </row>
    <row r="11" spans="1:9">
      <c r="A11" s="28" t="s">
        <v>42</v>
      </c>
      <c r="B11" s="17" t="s">
        <v>110</v>
      </c>
      <c r="C11" s="24">
        <f>(C7*$B$37*C9)+(C10*$B$37*C9)</f>
        <v>3240.6751979999999</v>
      </c>
      <c r="D11" s="24">
        <f>(D7*$B$37*D9)+(D10*$B$37*D9)</f>
        <v>3135.9537693000002</v>
      </c>
      <c r="E11" s="17" t="s">
        <v>242</v>
      </c>
      <c r="F11" s="17" t="s">
        <v>110</v>
      </c>
      <c r="G11" s="37">
        <f>(G9*$B$37*G7)+(G10*$B$37*G9)</f>
        <v>14043.628214999999</v>
      </c>
      <c r="H11" s="37">
        <f>(H9*$B$37*H7)+(H10*$B$37*H9)</f>
        <v>9842.1286410000012</v>
      </c>
      <c r="I11" s="17"/>
    </row>
    <row r="12" spans="1:9">
      <c r="A12" s="1"/>
      <c r="C12" s="1"/>
      <c r="D12" s="1"/>
      <c r="E12" s="1"/>
      <c r="G12" s="1"/>
      <c r="H12" s="1"/>
      <c r="I12" s="1"/>
    </row>
    <row r="13" spans="1:9">
      <c r="A13" s="1" t="s">
        <v>185</v>
      </c>
      <c r="B13" s="1" t="s">
        <v>110</v>
      </c>
      <c r="C13" s="5">
        <v>61.5</v>
      </c>
      <c r="D13" s="5">
        <v>61.5</v>
      </c>
      <c r="E13" s="1" t="s">
        <v>185</v>
      </c>
      <c r="F13" s="1" t="s">
        <v>110</v>
      </c>
      <c r="G13" s="5">
        <v>61.5</v>
      </c>
      <c r="H13" s="5">
        <v>2478</v>
      </c>
      <c r="I13" s="1"/>
    </row>
    <row r="14" spans="1:9">
      <c r="A14" s="5" t="s">
        <v>9</v>
      </c>
      <c r="B14" s="1" t="s">
        <v>110</v>
      </c>
      <c r="C14" s="5">
        <v>76.959999999999994</v>
      </c>
      <c r="D14" s="5">
        <v>96.23</v>
      </c>
      <c r="E14" s="5" t="s">
        <v>9</v>
      </c>
      <c r="F14" s="1" t="s">
        <v>110</v>
      </c>
      <c r="G14" s="5">
        <v>76.959999999999994</v>
      </c>
      <c r="H14" s="46">
        <v>310.33</v>
      </c>
      <c r="I14" s="1"/>
    </row>
    <row r="15" spans="1:9">
      <c r="A15" s="48" t="s">
        <v>247</v>
      </c>
      <c r="B15" s="47" t="s">
        <v>131</v>
      </c>
      <c r="C15" s="48">
        <f>(12*10)</f>
        <v>120</v>
      </c>
      <c r="D15" s="48">
        <f>(14*12)</f>
        <v>168</v>
      </c>
      <c r="E15" s="48" t="s">
        <v>105</v>
      </c>
      <c r="F15" s="47" t="s">
        <v>131</v>
      </c>
      <c r="G15" s="48">
        <f>(44.95*12)</f>
        <v>539.40000000000009</v>
      </c>
      <c r="H15" s="48">
        <f>(43.49*12)</f>
        <v>521.88</v>
      </c>
      <c r="I15" s="1"/>
    </row>
    <row r="16" spans="1:9">
      <c r="A16" s="47" t="s">
        <v>106</v>
      </c>
      <c r="B16" s="1" t="s">
        <v>110</v>
      </c>
      <c r="C16" s="18">
        <f>((C13+(C14*B43)+(C15*B43)*C9)*B37)</f>
        <v>321.32106599999997</v>
      </c>
      <c r="D16" s="18">
        <f>((D13+(D14*B43))*D9+(D15*B43))*B37</f>
        <v>364.9771422</v>
      </c>
      <c r="E16" s="28" t="s">
        <v>194</v>
      </c>
      <c r="F16" s="1" t="s">
        <v>110</v>
      </c>
      <c r="G16" s="18">
        <f>((G13+(G14*B43)+(G15*B43)*G9)*B37)</f>
        <v>858.90690600000016</v>
      </c>
      <c r="H16" s="18">
        <f>((H13+(H14*B43)+(H15*B43)*H9)*B37)</f>
        <v>1902.7901111999997</v>
      </c>
      <c r="I16" s="47"/>
    </row>
    <row r="17" spans="1:9">
      <c r="A17" s="1"/>
      <c r="C17" s="1"/>
      <c r="D17" s="1"/>
      <c r="E17" s="1"/>
      <c r="G17" s="1"/>
      <c r="H17" s="1"/>
      <c r="I17" s="1"/>
    </row>
    <row r="18" spans="1:9">
      <c r="A18" s="42" t="s">
        <v>88</v>
      </c>
      <c r="B18" s="1" t="s">
        <v>110</v>
      </c>
      <c r="C18" s="18">
        <f>((((Privé!C18*Société!A40)+(Privé!C19*Société!C40))*(Société!B42/100)*Société!B43))+(12*C33*B43)</f>
        <v>2883.269433962264</v>
      </c>
      <c r="D18" s="18">
        <f>((((Privé!D18*Société!A40)+(Privé!D19*Société!C40))*(Société!B42/100)*Société!B43))</f>
        <v>5416.0661157024788</v>
      </c>
      <c r="E18" s="1" t="s">
        <v>186</v>
      </c>
      <c r="F18" s="1" t="s">
        <v>110</v>
      </c>
      <c r="G18" s="18">
        <f>(((Privé!G18*Société!A40)+(Privé!G19*Société!C40))*(Société!B42/100)*Société!B43)</f>
        <v>1591.3368220801497</v>
      </c>
      <c r="H18" s="18">
        <f>(((Privé!H18*Société!B40)+(Privé!H19*Société!C40))*(Société!B42/100)*Société!B43)</f>
        <v>3932.7471074380164</v>
      </c>
      <c r="I18" s="1"/>
    </row>
    <row r="19" spans="1:9">
      <c r="A19" s="17" t="s">
        <v>231</v>
      </c>
      <c r="B19" s="1" t="s">
        <v>110</v>
      </c>
      <c r="C19" s="18">
        <f>((C18*C45)*C9)*$B$37</f>
        <v>882.02095254339599</v>
      </c>
      <c r="D19" s="24">
        <f>((D18*C45)*D9)*$B$37</f>
        <v>1242.6215890909089</v>
      </c>
      <c r="E19" s="17" t="s">
        <v>231</v>
      </c>
      <c r="F19" s="1" t="s">
        <v>110</v>
      </c>
      <c r="G19" s="18">
        <f>((G18*C45)*G9)*B37</f>
        <v>405.67153936878213</v>
      </c>
      <c r="H19" s="18">
        <f>((H18*C45)*H9)*B37</f>
        <v>902.30000072727273</v>
      </c>
      <c r="I19" s="1"/>
    </row>
    <row r="20" spans="1:9">
      <c r="A20" s="17"/>
      <c r="B20" s="17"/>
      <c r="C20" s="24"/>
      <c r="D20" s="24"/>
      <c r="E20" s="17"/>
      <c r="F20" s="17"/>
      <c r="G20" s="24"/>
      <c r="H20" s="24"/>
      <c r="I20" s="17"/>
    </row>
    <row r="21" spans="1:9">
      <c r="A21" s="28" t="s">
        <v>95</v>
      </c>
      <c r="B21" s="28" t="s">
        <v>110</v>
      </c>
      <c r="C21" s="38">
        <f>(25.1*12)*B43</f>
        <v>1204.8000000000002</v>
      </c>
      <c r="D21" s="38">
        <f>(25.1*12)*B43</f>
        <v>1204.8000000000002</v>
      </c>
      <c r="E21" s="28" t="s">
        <v>95</v>
      </c>
      <c r="F21" s="28" t="s">
        <v>110</v>
      </c>
      <c r="G21" s="38">
        <f>(25.1*12)*B43</f>
        <v>1204.8000000000002</v>
      </c>
      <c r="H21" s="38">
        <f>(25.1*12)*B43</f>
        <v>1204.8000000000002</v>
      </c>
      <c r="I21" s="28"/>
    </row>
    <row r="22" spans="1:9">
      <c r="A22" s="28" t="s">
        <v>41</v>
      </c>
      <c r="B22" s="28" t="s">
        <v>110</v>
      </c>
      <c r="C22" s="38">
        <f>(C21)*B37</f>
        <v>409.51152000000002</v>
      </c>
      <c r="D22" s="38">
        <f>D21*B37</f>
        <v>409.51152000000002</v>
      </c>
      <c r="E22" s="28" t="s">
        <v>41</v>
      </c>
      <c r="F22" s="28" t="s">
        <v>110</v>
      </c>
      <c r="G22" s="38">
        <f>G21*B37</f>
        <v>409.51152000000002</v>
      </c>
      <c r="H22" s="38">
        <f>H21*B37</f>
        <v>409.51152000000002</v>
      </c>
      <c r="I22" s="28"/>
    </row>
    <row r="23" spans="1:9">
      <c r="A23" s="17"/>
      <c r="B23" s="17"/>
      <c r="C23" s="29"/>
      <c r="D23" s="29"/>
      <c r="E23" s="17"/>
      <c r="F23" s="17"/>
      <c r="G23" s="30"/>
      <c r="H23" s="30"/>
      <c r="I23" s="17"/>
    </row>
    <row r="24" spans="1:9">
      <c r="A24" s="47" t="s">
        <v>120</v>
      </c>
      <c r="B24" s="1" t="s">
        <v>110</v>
      </c>
      <c r="C24" s="18">
        <f>C11+C16+C19+C22</f>
        <v>4853.528736543396</v>
      </c>
      <c r="D24" s="24">
        <f>D11+D16+D19+D22</f>
        <v>5153.0640205909094</v>
      </c>
      <c r="E24" s="1" t="s">
        <v>97</v>
      </c>
      <c r="F24" s="1" t="s">
        <v>131</v>
      </c>
      <c r="G24" s="18">
        <f>G19+G11+G16+G22</f>
        <v>15717.718180368782</v>
      </c>
      <c r="H24" s="24">
        <f>H19+H11+H16+H22</f>
        <v>13056.730272927274</v>
      </c>
      <c r="I24" s="1"/>
    </row>
    <row r="25" spans="1:9">
      <c r="A25" s="1" t="s">
        <v>189</v>
      </c>
      <c r="B25" s="1" t="s">
        <v>110</v>
      </c>
      <c r="C25" s="1"/>
      <c r="D25" s="19">
        <f>C24-D24</f>
        <v>-299.53528404751341</v>
      </c>
      <c r="E25" s="1" t="s">
        <v>189</v>
      </c>
      <c r="F25" s="1" t="s">
        <v>131</v>
      </c>
      <c r="G25" s="1"/>
      <c r="H25" s="20">
        <f>G24-H24</f>
        <v>2660.9879074415076</v>
      </c>
      <c r="I25" s="1"/>
    </row>
    <row r="26" spans="1:9">
      <c r="A26" s="1"/>
      <c r="C26" s="1"/>
      <c r="D26" s="1"/>
      <c r="E26" s="1"/>
      <c r="G26" s="1"/>
      <c r="H26" s="1"/>
      <c r="I26" s="1"/>
    </row>
    <row r="27" spans="1:9">
      <c r="A27" s="5" t="s">
        <v>87</v>
      </c>
      <c r="B27" s="1" t="s">
        <v>110</v>
      </c>
      <c r="C27" s="12">
        <f>(C7+C10)-C11+(C13+(C14*B43)+(C15*B43)-C16)+(C18-C19)+(C21-C22)</f>
        <v>8029.0488792370497</v>
      </c>
      <c r="D27" s="12">
        <f>(D7+D10)-D11+(D13+(D14*B43)+(D15*B43)-D16)+(D18-D19)+(D21-D22)</f>
        <v>12837.45209511157</v>
      </c>
      <c r="E27" s="1" t="s">
        <v>129</v>
      </c>
      <c r="F27" s="1" t="s">
        <v>110</v>
      </c>
      <c r="G27" s="12">
        <f>(G7+G10)-G11+(G13+(G14*B43)+(G15*B43)-G16)+(G18-G19)+(G21-G22)</f>
        <v>30922.29955080228</v>
      </c>
      <c r="H27" s="24">
        <f>(H7+H10)-H11+(H13+(H14*B43)+(H15*B43)-H16)+(H18-H19)+(H21-H22)</f>
        <v>30060.938652692563</v>
      </c>
      <c r="I27" s="1"/>
    </row>
    <row r="28" spans="1:9">
      <c r="A28" s="42" t="s">
        <v>130</v>
      </c>
      <c r="B28" s="1" t="s">
        <v>131</v>
      </c>
      <c r="C28" s="1"/>
      <c r="D28" s="15">
        <f>D27-C27</f>
        <v>4808.4032158745204</v>
      </c>
      <c r="E28" s="1" t="s">
        <v>130</v>
      </c>
      <c r="F28" s="1" t="s">
        <v>110</v>
      </c>
      <c r="G28" s="1"/>
      <c r="H28" s="16">
        <f>H27-G27</f>
        <v>-861.3608981097168</v>
      </c>
      <c r="I28" s="1"/>
    </row>
    <row r="29" spans="1:9">
      <c r="B29" s="1"/>
      <c r="C29" s="1"/>
      <c r="D29" s="1"/>
      <c r="E29" s="1"/>
      <c r="G29" s="1"/>
      <c r="H29" s="1"/>
      <c r="I29" s="1"/>
    </row>
    <row r="30" spans="1:9">
      <c r="A30" s="1" t="s">
        <v>132</v>
      </c>
      <c r="B30" s="1" t="s">
        <v>110</v>
      </c>
      <c r="C30" s="39">
        <f>(C6)*4.4%*(6/7)</f>
        <v>319.02514285714284</v>
      </c>
      <c r="D30" s="39">
        <f>(D6)*(5.5%+(104-110)*0.1%)*(6/7)</f>
        <v>458.39640000000009</v>
      </c>
      <c r="E30" s="39" t="s">
        <v>132</v>
      </c>
      <c r="F30" s="39" t="s">
        <v>110</v>
      </c>
      <c r="G30" s="49">
        <f>(G6)*4.4%*(6/7)</f>
        <v>1659.0137142857145</v>
      </c>
      <c r="H30" s="41">
        <f>(H6)*(5.5%+(103-91)*0.1%)*(6/7)</f>
        <v>1967.1582857142857</v>
      </c>
      <c r="I30" s="1"/>
    </row>
    <row r="31" spans="1:9">
      <c r="A31" s="28" t="s">
        <v>3</v>
      </c>
      <c r="B31" s="28" t="s">
        <v>110</v>
      </c>
      <c r="C31" s="28">
        <v>1250</v>
      </c>
      <c r="D31" s="28">
        <v>1250</v>
      </c>
      <c r="E31" s="28" t="s">
        <v>3</v>
      </c>
      <c r="F31" s="28" t="s">
        <v>110</v>
      </c>
      <c r="G31" s="28"/>
      <c r="H31" s="33"/>
      <c r="I31" s="1"/>
    </row>
    <row r="32" spans="1:9">
      <c r="D32" s="28"/>
      <c r="G32" s="1"/>
      <c r="H32" s="1"/>
      <c r="I32" s="1"/>
    </row>
    <row r="33" spans="1:9">
      <c r="A33" s="110" t="s">
        <v>77</v>
      </c>
      <c r="B33" s="111"/>
      <c r="C33" s="42">
        <v>50</v>
      </c>
      <c r="D33" s="1"/>
      <c r="G33" s="1"/>
      <c r="H33" s="90"/>
      <c r="I33" s="90"/>
    </row>
    <row r="34" spans="1:9">
      <c r="A34" s="112"/>
      <c r="B34" s="107"/>
      <c r="D34" s="1"/>
      <c r="G34" s="1"/>
      <c r="H34" s="90"/>
      <c r="I34" s="90"/>
    </row>
    <row r="35" spans="1:9">
      <c r="D35" s="1"/>
      <c r="G35" s="1"/>
      <c r="H35" s="1"/>
      <c r="I35" s="1"/>
    </row>
    <row r="36" spans="1:9">
      <c r="D36" s="1"/>
      <c r="G36" s="1"/>
      <c r="H36" s="90"/>
      <c r="I36" s="90"/>
    </row>
    <row r="37" spans="1:9">
      <c r="A37" t="s">
        <v>241</v>
      </c>
      <c r="B37" s="4">
        <v>0.33989999999999998</v>
      </c>
      <c r="D37" s="1"/>
      <c r="G37" s="1"/>
      <c r="H37" s="90"/>
      <c r="I37" s="90"/>
    </row>
    <row r="38" spans="1:9">
      <c r="H38" s="90"/>
      <c r="I38" s="90"/>
    </row>
    <row r="39" spans="1:9">
      <c r="A39" t="s">
        <v>108</v>
      </c>
      <c r="B39" t="s">
        <v>109</v>
      </c>
      <c r="C39" s="108" t="s">
        <v>118</v>
      </c>
      <c r="D39" s="108"/>
      <c r="G39" s="1"/>
      <c r="H39" s="1"/>
      <c r="I39" s="1"/>
    </row>
    <row r="40" spans="1:9">
      <c r="A40" s="34">
        <f>Privé!A37/1.21</f>
        <v>1.2537190082644627</v>
      </c>
      <c r="B40" s="34">
        <f>Privé!B37/1.21</f>
        <v>1.0504132231404959</v>
      </c>
      <c r="C40" s="34">
        <f>Privé!C37/1.06</f>
        <v>7.9905660377358495E-2</v>
      </c>
      <c r="D40" t="s">
        <v>127</v>
      </c>
    </row>
    <row r="42" spans="1:9">
      <c r="A42" t="s">
        <v>98</v>
      </c>
      <c r="B42">
        <v>20000</v>
      </c>
    </row>
    <row r="43" spans="1:9">
      <c r="A43" t="s">
        <v>188</v>
      </c>
      <c r="B43">
        <v>4</v>
      </c>
    </row>
    <row r="44" spans="1:9">
      <c r="A44" t="s">
        <v>103</v>
      </c>
      <c r="C44" s="10">
        <v>0.65</v>
      </c>
    </row>
    <row r="45" spans="1:9">
      <c r="A45" t="s">
        <v>230</v>
      </c>
      <c r="C45" s="10">
        <v>0.75</v>
      </c>
    </row>
    <row r="46" spans="1:9">
      <c r="C46" s="10"/>
    </row>
    <row r="47" spans="1:9">
      <c r="A47" s="107" t="s">
        <v>47</v>
      </c>
      <c r="B47" s="107"/>
      <c r="C47" s="107"/>
      <c r="G47" s="28"/>
      <c r="H47" s="28"/>
      <c r="I47" s="28"/>
    </row>
    <row r="48" spans="1:9">
      <c r="D48" s="1"/>
      <c r="G48" s="28"/>
      <c r="H48" s="28"/>
      <c r="I48" s="71"/>
    </row>
    <row r="49" spans="1:9">
      <c r="A49" s="109" t="s">
        <v>4</v>
      </c>
      <c r="B49" s="109"/>
      <c r="C49" s="109"/>
      <c r="G49" s="1"/>
      <c r="I49" s="1"/>
    </row>
    <row r="50" spans="1:9">
      <c r="B50" t="s">
        <v>5</v>
      </c>
      <c r="G50" s="1"/>
      <c r="H50" s="1"/>
      <c r="I50" s="1"/>
    </row>
    <row r="51" spans="1:9">
      <c r="B51" s="107" t="s">
        <v>6</v>
      </c>
      <c r="C51" s="107"/>
      <c r="D51" s="107"/>
      <c r="G51" s="1"/>
      <c r="H51" s="1"/>
      <c r="I51" s="1"/>
    </row>
    <row r="52" spans="1:9">
      <c r="B52" t="s">
        <v>86</v>
      </c>
      <c r="G52" s="1"/>
      <c r="H52" s="1"/>
      <c r="I52" s="1"/>
    </row>
    <row r="53" spans="1:9">
      <c r="G53" s="1"/>
      <c r="H53" s="1"/>
      <c r="I53" s="1"/>
    </row>
    <row r="54" spans="1:9">
      <c r="A54" s="1" t="s">
        <v>134</v>
      </c>
      <c r="C54" s="1" t="s">
        <v>10</v>
      </c>
      <c r="D54" s="1" t="s">
        <v>13</v>
      </c>
      <c r="G54" s="1"/>
      <c r="H54" s="1"/>
      <c r="I54" s="1"/>
    </row>
    <row r="55" spans="1:9">
      <c r="A55" s="1" t="s">
        <v>193</v>
      </c>
      <c r="C55" s="1" t="s">
        <v>12</v>
      </c>
      <c r="D55" s="1" t="s">
        <v>14</v>
      </c>
      <c r="E55" s="1" t="s">
        <v>134</v>
      </c>
      <c r="G55" s="1" t="s">
        <v>19</v>
      </c>
      <c r="H55" s="1" t="s">
        <v>21</v>
      </c>
      <c r="I55" s="1" t="s">
        <v>21</v>
      </c>
    </row>
    <row r="56" spans="1:9">
      <c r="A56" s="1" t="s">
        <v>168</v>
      </c>
      <c r="C56" s="1" t="s">
        <v>170</v>
      </c>
      <c r="D56" s="1" t="s">
        <v>169</v>
      </c>
      <c r="E56" s="1" t="s">
        <v>193</v>
      </c>
      <c r="G56" s="43" t="s">
        <v>40</v>
      </c>
      <c r="H56" s="1" t="s">
        <v>159</v>
      </c>
      <c r="I56" s="1" t="s">
        <v>161</v>
      </c>
    </row>
    <row r="57" spans="1:9">
      <c r="A57" s="1" t="s">
        <v>11</v>
      </c>
      <c r="B57" s="1" t="s">
        <v>110</v>
      </c>
      <c r="C57" s="2">
        <v>24780</v>
      </c>
      <c r="D57" s="2">
        <v>24600</v>
      </c>
      <c r="E57" s="1" t="s">
        <v>168</v>
      </c>
      <c r="G57" s="1" t="s">
        <v>38</v>
      </c>
      <c r="H57" s="1" t="s">
        <v>84</v>
      </c>
      <c r="I57" s="1" t="s">
        <v>172</v>
      </c>
    </row>
    <row r="58" spans="1:9">
      <c r="A58" s="1" t="s">
        <v>0</v>
      </c>
      <c r="B58" s="1" t="s">
        <v>111</v>
      </c>
      <c r="C58" s="2">
        <f>C57*0.1</f>
        <v>2478</v>
      </c>
      <c r="D58" s="2">
        <f>D57*0.1</f>
        <v>2460</v>
      </c>
      <c r="E58" s="1" t="s">
        <v>11</v>
      </c>
      <c r="F58" s="1" t="s">
        <v>110</v>
      </c>
      <c r="G58" s="2">
        <v>82800</v>
      </c>
      <c r="H58" s="2">
        <v>82038</v>
      </c>
      <c r="I58" s="2">
        <v>82038</v>
      </c>
    </row>
    <row r="59" spans="1:9">
      <c r="A59" s="1" t="s">
        <v>85</v>
      </c>
      <c r="B59" s="1" t="s">
        <v>112</v>
      </c>
      <c r="C59" s="2">
        <f>C57+C58</f>
        <v>27258</v>
      </c>
      <c r="D59" s="2">
        <f>D57+D58</f>
        <v>27060</v>
      </c>
      <c r="E59" s="1" t="s">
        <v>0</v>
      </c>
      <c r="F59" s="1" t="s">
        <v>111</v>
      </c>
      <c r="G59" s="2">
        <f>G58*0.1</f>
        <v>8280</v>
      </c>
      <c r="H59" s="2">
        <f>H58*0.1</f>
        <v>8203.8000000000011</v>
      </c>
      <c r="I59" s="2">
        <f>I58*0.1</f>
        <v>8203.8000000000011</v>
      </c>
    </row>
    <row r="60" spans="1:9">
      <c r="A60" s="1" t="s">
        <v>114</v>
      </c>
      <c r="B60" s="1" t="s">
        <v>115</v>
      </c>
      <c r="C60" s="31">
        <f>C59/1.21</f>
        <v>22527.272727272728</v>
      </c>
      <c r="D60" s="31">
        <f>D59/1.21</f>
        <v>22363.636363636364</v>
      </c>
      <c r="E60" s="1" t="s">
        <v>85</v>
      </c>
      <c r="F60" s="1" t="s">
        <v>112</v>
      </c>
      <c r="G60" s="2">
        <f>(G58+G59)</f>
        <v>91080</v>
      </c>
      <c r="H60" s="2">
        <f>(H58+H59)</f>
        <v>90241.8</v>
      </c>
      <c r="I60" s="2">
        <f>(I58+I59)</f>
        <v>90241.8</v>
      </c>
    </row>
    <row r="61" spans="1:9">
      <c r="A61" s="1"/>
      <c r="B61" s="1"/>
      <c r="C61" s="1"/>
      <c r="D61" s="1"/>
      <c r="E61" s="1" t="s">
        <v>114</v>
      </c>
      <c r="F61" s="1" t="s">
        <v>115</v>
      </c>
      <c r="G61" s="21">
        <f>G60/1.21</f>
        <v>75272.727272727279</v>
      </c>
      <c r="H61" s="1">
        <f>H60/1.21</f>
        <v>74580</v>
      </c>
      <c r="I61" s="1">
        <f>I60/1.21</f>
        <v>74580</v>
      </c>
    </row>
    <row r="62" spans="1:9">
      <c r="A62" s="28" t="s">
        <v>240</v>
      </c>
      <c r="C62" s="7">
        <v>0.9</v>
      </c>
      <c r="D62" s="7">
        <v>0.8</v>
      </c>
      <c r="E62" s="1"/>
      <c r="F62" s="1"/>
      <c r="G62" s="1"/>
      <c r="H62" s="1"/>
      <c r="I62" s="1"/>
    </row>
    <row r="63" spans="1:9">
      <c r="A63" s="17" t="s">
        <v>107</v>
      </c>
      <c r="B63" s="17" t="s">
        <v>131</v>
      </c>
      <c r="C63" s="35">
        <f>(C59-C60)*C44</f>
        <v>3074.9727272727268</v>
      </c>
      <c r="D63" s="35">
        <f>(D59-D60)*C44</f>
        <v>3052.6363636363635</v>
      </c>
      <c r="E63" s="1" t="s">
        <v>167</v>
      </c>
      <c r="G63" s="7">
        <v>1.2</v>
      </c>
      <c r="H63" s="7">
        <v>0.8</v>
      </c>
      <c r="I63" s="7">
        <v>0.75</v>
      </c>
    </row>
    <row r="64" spans="1:9">
      <c r="A64" s="28" t="s">
        <v>195</v>
      </c>
      <c r="B64" s="17" t="s">
        <v>110</v>
      </c>
      <c r="C64" s="35">
        <f>(C62*$B$37*C60)+(C62*$B$37*C63)</f>
        <v>7831.9829070000005</v>
      </c>
      <c r="D64" s="35">
        <f>(D62*$B$37*D60)+(D62*$B$37*D63)</f>
        <v>6911.1928799999996</v>
      </c>
      <c r="E64" s="17" t="s">
        <v>107</v>
      </c>
      <c r="F64" s="17" t="s">
        <v>131</v>
      </c>
      <c r="G64" s="36">
        <f>(G60-G61)*C44</f>
        <v>10274.727272727268</v>
      </c>
      <c r="H64" s="36">
        <f>(H60-H61)*C44</f>
        <v>10180.170000000002</v>
      </c>
      <c r="I64" s="36">
        <f>(I60-I61)*C44</f>
        <v>10180.170000000002</v>
      </c>
    </row>
    <row r="65" spans="1:9">
      <c r="A65" s="1"/>
      <c r="E65" s="28" t="s">
        <v>195</v>
      </c>
      <c r="F65" s="17" t="s">
        <v>110</v>
      </c>
      <c r="G65" s="36">
        <f>(G63*$B$37*G61)+(G63*$B$37*G64)</f>
        <v>34893.095759999997</v>
      </c>
      <c r="H65" s="36">
        <f>(H63*$B$37*H61)+(H63*$B$37*H64)</f>
        <v>23047.985426400002</v>
      </c>
      <c r="I65" s="36">
        <f>(I63*$B$37*I61)+(I63*$B$37*I64)</f>
        <v>21607.486337249997</v>
      </c>
    </row>
    <row r="66" spans="1:9">
      <c r="A66" s="1" t="s">
        <v>185</v>
      </c>
      <c r="B66" s="1" t="s">
        <v>110</v>
      </c>
      <c r="C66" s="5">
        <v>123</v>
      </c>
      <c r="D66" s="5">
        <v>61.5</v>
      </c>
      <c r="E66" s="1"/>
      <c r="G66" s="1"/>
      <c r="H66" s="1"/>
      <c r="I66" s="1"/>
    </row>
    <row r="67" spans="1:9">
      <c r="A67" s="5" t="s">
        <v>9</v>
      </c>
      <c r="B67" s="1" t="s">
        <v>110</v>
      </c>
      <c r="C67" s="5">
        <v>310.33</v>
      </c>
      <c r="D67" s="5">
        <v>224.93</v>
      </c>
      <c r="E67" s="1" t="s">
        <v>185</v>
      </c>
      <c r="F67" s="1" t="s">
        <v>110</v>
      </c>
      <c r="G67" s="5">
        <v>61.5</v>
      </c>
      <c r="H67" s="5">
        <v>495</v>
      </c>
      <c r="I67" s="5">
        <v>1239</v>
      </c>
    </row>
    <row r="68" spans="1:9">
      <c r="A68" s="48" t="s">
        <v>247</v>
      </c>
      <c r="B68" s="47" t="s">
        <v>131</v>
      </c>
      <c r="C68" s="48">
        <f>(35*12)</f>
        <v>420</v>
      </c>
      <c r="D68" s="48">
        <f>(45*12)</f>
        <v>540</v>
      </c>
      <c r="E68" s="5" t="s">
        <v>9</v>
      </c>
      <c r="F68" s="1" t="s">
        <v>110</v>
      </c>
      <c r="G68" s="5">
        <v>76.959999999999994</v>
      </c>
      <c r="H68" s="5">
        <v>402.73</v>
      </c>
      <c r="I68" s="5">
        <v>772.2</v>
      </c>
    </row>
    <row r="69" spans="1:9">
      <c r="A69" s="1" t="s">
        <v>92</v>
      </c>
      <c r="B69" s="1" t="s">
        <v>110</v>
      </c>
      <c r="C69" s="21">
        <f>((C66+(C67*B43)+(C68*B43)*C62)*B37)</f>
        <v>977.66116799999986</v>
      </c>
      <c r="D69" s="21">
        <f>((D66+(D67*B43)+(D68*B43)*D62)*B37)</f>
        <v>914.065878</v>
      </c>
      <c r="E69" s="48" t="s">
        <v>247</v>
      </c>
      <c r="F69" s="47" t="s">
        <v>131</v>
      </c>
      <c r="G69" s="48">
        <f>(2200/4)</f>
        <v>550</v>
      </c>
      <c r="H69" s="48">
        <f>(60*12)</f>
        <v>720</v>
      </c>
      <c r="I69" s="48">
        <f>(60*12)</f>
        <v>720</v>
      </c>
    </row>
    <row r="70" spans="1:9">
      <c r="A70" s="47"/>
      <c r="B70" s="47"/>
      <c r="C70" s="39"/>
      <c r="D70" s="39"/>
      <c r="E70" s="1" t="s">
        <v>92</v>
      </c>
      <c r="F70" s="1" t="s">
        <v>110</v>
      </c>
      <c r="G70" s="21">
        <f>((G67+(G68*$B$43)+(G69*B43)*G63)*$B$37)</f>
        <v>1022.8746659999999</v>
      </c>
      <c r="H70" s="21">
        <f>((H67+(H68*$B$43)+(H69*B43))*H63)*$B$37</f>
        <v>1355.7713664</v>
      </c>
      <c r="I70" s="21">
        <f>((I67+(I68*$B$43)+(B43*I69))*I63)*$B$37</f>
        <v>1837.4484150000001</v>
      </c>
    </row>
    <row r="71" spans="1:9">
      <c r="A71" s="1" t="s">
        <v>186</v>
      </c>
      <c r="B71" s="1" t="s">
        <v>110</v>
      </c>
      <c r="C71" s="21">
        <f>((((Privé!C71*Société!A40)+(Privé!C72*Société!C40))*(Société!B42/100)*Société!B43))</f>
        <v>4212.4958677685945</v>
      </c>
      <c r="D71" s="21">
        <f>((((Privé!D71*Société!A40)+(Privé!D72*Société!C40))*(Société!B42/100)*Société!B43))</f>
        <v>6378.922314049586</v>
      </c>
      <c r="E71" s="47"/>
      <c r="F71" s="47"/>
      <c r="G71" s="39"/>
      <c r="H71" s="39"/>
      <c r="I71" s="39"/>
    </row>
    <row r="72" spans="1:9">
      <c r="A72" s="17" t="s">
        <v>231</v>
      </c>
      <c r="B72" s="1" t="s">
        <v>110</v>
      </c>
      <c r="C72" s="21">
        <f>((C71*C45)*C62)*B37</f>
        <v>966.48345818181815</v>
      </c>
      <c r="D72" s="21">
        <f>((D7+C45)*D62)*B37</f>
        <v>2452.9223400000001</v>
      </c>
      <c r="E72" s="1" t="s">
        <v>186</v>
      </c>
      <c r="F72" s="1" t="s">
        <v>110</v>
      </c>
      <c r="G72" s="38">
        <f>(((Privé!G71*Société!A40)+(Privé!G72*Société!C40))*(Société!B42/100)*Société!B43)</f>
        <v>1212.0090566037736</v>
      </c>
      <c r="H72" s="38">
        <f>(((Privé!H71*Société!B40)+(Privé!H72*Société!C40))*(Société!B42/100)*Société!B43)</f>
        <v>4436.9454545454555</v>
      </c>
      <c r="I72" s="38">
        <f>(((Privé!I71*Société!B40)+(Privé!I72*Société!C40))*(Société!B42/100)*Société!B43)</f>
        <v>5546.181818181818</v>
      </c>
    </row>
    <row r="73" spans="1:9">
      <c r="A73" s="17"/>
      <c r="B73" s="17"/>
      <c r="C73" s="24"/>
      <c r="D73" s="24"/>
      <c r="E73" s="17" t="s">
        <v>104</v>
      </c>
      <c r="F73" s="1" t="s">
        <v>110</v>
      </c>
      <c r="G73" s="21">
        <f>((G72*C45)*G63)*B37</f>
        <v>370.76569050566036</v>
      </c>
      <c r="H73" s="21">
        <f>((H72*C45)*H63)*B37</f>
        <v>904.87065600000017</v>
      </c>
      <c r="I73" s="21">
        <f>((I72*C45)*I63)*B37</f>
        <v>1060.3953000000001</v>
      </c>
    </row>
    <row r="74" spans="1:9">
      <c r="A74" s="28" t="s">
        <v>95</v>
      </c>
      <c r="B74" s="28" t="s">
        <v>110</v>
      </c>
      <c r="C74" s="38">
        <f>(25.1*12)*B43</f>
        <v>1204.8000000000002</v>
      </c>
      <c r="D74" s="38">
        <f>(((123*9)-768)*1.2051)*B43</f>
        <v>1634.1156000000001</v>
      </c>
      <c r="E74" s="17"/>
      <c r="F74" s="17"/>
      <c r="G74" s="24"/>
      <c r="H74" s="24"/>
      <c r="I74" s="24"/>
    </row>
    <row r="75" spans="1:9">
      <c r="A75" s="28" t="s">
        <v>41</v>
      </c>
      <c r="B75" s="28" t="s">
        <v>110</v>
      </c>
      <c r="C75" s="38">
        <f>C74*B37</f>
        <v>409.51152000000002</v>
      </c>
      <c r="D75" s="38">
        <f>D74*B37</f>
        <v>555.43589243999998</v>
      </c>
      <c r="E75" s="28" t="s">
        <v>95</v>
      </c>
      <c r="F75" s="28" t="s">
        <v>110</v>
      </c>
      <c r="G75" s="38">
        <f>(25.1*12)*B43</f>
        <v>1204.8000000000002</v>
      </c>
      <c r="H75" s="38">
        <f>(((115*9)-600)*1.2051)*B43</f>
        <v>2096.8740000000003</v>
      </c>
      <c r="I75" s="38">
        <f>(((146*9)-600)*1.2051)*B43</f>
        <v>3441.7656000000002</v>
      </c>
    </row>
    <row r="76" spans="1:9">
      <c r="A76" s="28"/>
      <c r="B76" s="28"/>
      <c r="C76" s="38"/>
      <c r="D76" s="38"/>
      <c r="E76" s="28" t="s">
        <v>41</v>
      </c>
      <c r="F76" s="28" t="s">
        <v>110</v>
      </c>
      <c r="G76" s="38">
        <f>G75*B37</f>
        <v>409.51152000000002</v>
      </c>
      <c r="H76" s="38">
        <f>H75*B37</f>
        <v>712.72747260000006</v>
      </c>
      <c r="I76" s="38">
        <f>I75*B37</f>
        <v>1169.8561274399999</v>
      </c>
    </row>
    <row r="77" spans="1:9">
      <c r="A77" s="1" t="s">
        <v>94</v>
      </c>
      <c r="B77" s="1" t="s">
        <v>131</v>
      </c>
      <c r="C77" s="21">
        <f>C64+C69+C72+C75</f>
        <v>10185.639053181818</v>
      </c>
      <c r="D77" s="24">
        <f>D64+D69+D72+D75</f>
        <v>10833.616990440001</v>
      </c>
      <c r="E77" s="28"/>
      <c r="F77" s="28"/>
      <c r="G77" s="38"/>
      <c r="H77" s="38"/>
      <c r="I77" s="38"/>
    </row>
    <row r="78" spans="1:9">
      <c r="A78" s="1" t="s">
        <v>189</v>
      </c>
      <c r="B78" s="1" t="s">
        <v>131</v>
      </c>
      <c r="C78" s="21"/>
      <c r="D78" s="19">
        <f>C77-D77</f>
        <v>-647.97793725818337</v>
      </c>
      <c r="E78" s="1" t="s">
        <v>93</v>
      </c>
      <c r="F78" s="1" t="s">
        <v>131</v>
      </c>
      <c r="G78" s="21">
        <f>G65+G70+G73+G76</f>
        <v>36696.247636505657</v>
      </c>
      <c r="H78" s="24">
        <f>H65+H70+H73+H76</f>
        <v>26021.354921400001</v>
      </c>
      <c r="I78" s="24">
        <f>I65+I70+I73+I76</f>
        <v>25675.186179689998</v>
      </c>
    </row>
    <row r="79" spans="1:9">
      <c r="A79" s="1"/>
      <c r="B79" s="1"/>
      <c r="C79" s="21"/>
      <c r="D79" s="21"/>
      <c r="E79" s="1" t="s">
        <v>189</v>
      </c>
      <c r="F79" s="1" t="s">
        <v>131</v>
      </c>
      <c r="G79" s="21"/>
      <c r="H79" s="23">
        <f>G78-H78</f>
        <v>10674.892715105656</v>
      </c>
      <c r="I79" s="23">
        <f>G78-I78</f>
        <v>11021.06145681566</v>
      </c>
    </row>
    <row r="80" spans="1:9">
      <c r="A80" s="1" t="s">
        <v>129</v>
      </c>
      <c r="B80" s="1" t="s">
        <v>131</v>
      </c>
      <c r="C80" s="21">
        <f>(C60+C63)-C64+(C66+(C67*B43)+(C68*B43)-C69)+(C71-C72)+(C74-C75)</f>
        <v>23878.222269132228</v>
      </c>
      <c r="D80" s="21">
        <f>(D60+D63)-D64+(D66+(D67*B43)+(D68*B43)-D69)+(D71-D72)+(D74-D75)</f>
        <v>25716.913650882318</v>
      </c>
      <c r="E80" s="1"/>
      <c r="F80" s="1"/>
      <c r="G80" s="1"/>
      <c r="H80" s="9"/>
      <c r="I80" s="9"/>
    </row>
    <row r="81" spans="1:9">
      <c r="A81" s="1" t="s">
        <v>130</v>
      </c>
      <c r="B81" s="1" t="s">
        <v>131</v>
      </c>
      <c r="C81" s="21"/>
      <c r="D81" s="23">
        <f>D80-C80</f>
        <v>1838.6913817500899</v>
      </c>
      <c r="E81" s="1" t="s">
        <v>129</v>
      </c>
      <c r="F81" s="1" t="s">
        <v>131</v>
      </c>
      <c r="G81" s="24">
        <f>(G61+G64)-G65+(G67+(G68*B43)+(B43*G69)-G70)+(G72-G73)+(G75-G76)</f>
        <v>53837.355965552662</v>
      </c>
      <c r="H81" s="24">
        <f>(H61+H64)-H65+(H67+(H68*B43)+(H69*B43)-H70)+(H72-H73)+(H75-H76)</f>
        <v>70258.554533145449</v>
      </c>
      <c r="I81" s="24">
        <f>(I61+I64)-I65+(I67+(I68*B43)+(I69*B43)-I70)+(I72-I73)+(I75-I76)</f>
        <v>75280.731238491819</v>
      </c>
    </row>
    <row r="82" spans="1:9">
      <c r="A82" s="1"/>
      <c r="B82" s="1"/>
      <c r="E82" s="1" t="s">
        <v>130</v>
      </c>
      <c r="F82" s="1" t="s">
        <v>131</v>
      </c>
      <c r="G82" s="1"/>
      <c r="H82" s="32">
        <f>H81-G81</f>
        <v>16421.198567592786</v>
      </c>
      <c r="I82" s="32">
        <f>I81-G81</f>
        <v>21443.375272939156</v>
      </c>
    </row>
    <row r="83" spans="1:9">
      <c r="A83" s="1" t="s">
        <v>132</v>
      </c>
      <c r="B83" s="1" t="s">
        <v>131</v>
      </c>
      <c r="C83" s="28">
        <f>(C59)*4.4%*(6/7)</f>
        <v>1028.0160000000001</v>
      </c>
      <c r="D83" s="41">
        <f>(D59)*(5.5%+(123-110)*0.1%)*(6/7)</f>
        <v>1577.2114285714285</v>
      </c>
      <c r="E83" s="1"/>
      <c r="F83" s="1"/>
    </row>
    <row r="84" spans="1:9">
      <c r="A84" s="28" t="s">
        <v>3</v>
      </c>
      <c r="B84" s="28" t="s">
        <v>110</v>
      </c>
      <c r="C84" s="38">
        <v>1250</v>
      </c>
      <c r="D84" s="32"/>
      <c r="E84" s="1" t="s">
        <v>132</v>
      </c>
      <c r="F84" s="1" t="s">
        <v>131</v>
      </c>
      <c r="G84" s="2">
        <f>(G60)*(4.4%)*(6/7)</f>
        <v>3435.017142857143</v>
      </c>
      <c r="H84" s="40">
        <f>H60*(5.5%+(115-91)*0.1%)*(6/7)</f>
        <v>6110.6590285714283</v>
      </c>
      <c r="I84" s="40">
        <f>I60*(5.5%+(146-91)*0.1%)*(6/7)</f>
        <v>8508.5125714285714</v>
      </c>
    </row>
    <row r="85" spans="1:9">
      <c r="E85" s="28" t="s">
        <v>3</v>
      </c>
      <c r="F85" s="28" t="s">
        <v>110</v>
      </c>
    </row>
  </sheetData>
  <mergeCells count="6">
    <mergeCell ref="C39:D39"/>
    <mergeCell ref="A49:C49"/>
    <mergeCell ref="B51:D51"/>
    <mergeCell ref="A47:C47"/>
    <mergeCell ref="A33:B33"/>
    <mergeCell ref="A34:B34"/>
  </mergeCells>
  <phoneticPr fontId="5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T106"/>
  <sheetViews>
    <sheetView tabSelected="1" view="pageLayout" topLeftCell="A55" workbookViewId="0">
      <selection activeCell="B101" sqref="B101"/>
    </sheetView>
  </sheetViews>
  <sheetFormatPr baseColWidth="10" defaultRowHeight="13"/>
  <cols>
    <col min="1" max="1" width="8.7109375" customWidth="1"/>
    <col min="2" max="2" width="9" customWidth="1"/>
    <col min="3" max="3" width="9.42578125" bestFit="1" customWidth="1"/>
    <col min="4" max="7" width="10.42578125" bestFit="1" customWidth="1"/>
    <col min="9" max="11" width="9.42578125" bestFit="1" customWidth="1"/>
    <col min="12" max="14" width="9.5703125" bestFit="1" customWidth="1"/>
  </cols>
  <sheetData>
    <row r="1" spans="1:20">
      <c r="A1" s="107" t="s">
        <v>100</v>
      </c>
      <c r="B1" s="107"/>
      <c r="C1" s="107"/>
      <c r="H1" s="107" t="s">
        <v>36</v>
      </c>
      <c r="I1" s="107"/>
      <c r="J1" s="107"/>
      <c r="O1" s="69" t="s">
        <v>34</v>
      </c>
    </row>
    <row r="2" spans="1:20">
      <c r="A2" t="s">
        <v>101</v>
      </c>
      <c r="O2" s="69" t="s">
        <v>102</v>
      </c>
      <c r="P2" s="69"/>
      <c r="Q2" s="69"/>
    </row>
    <row r="3" spans="1:20">
      <c r="A3" s="73" t="s">
        <v>143</v>
      </c>
      <c r="B3" s="73" t="s">
        <v>28</v>
      </c>
      <c r="C3" s="73" t="s">
        <v>29</v>
      </c>
      <c r="D3" s="73" t="s">
        <v>30</v>
      </c>
      <c r="E3" s="73" t="s">
        <v>31</v>
      </c>
      <c r="F3" s="73" t="s">
        <v>32</v>
      </c>
      <c r="G3" s="73" t="s">
        <v>33</v>
      </c>
      <c r="H3" s="73" t="s">
        <v>143</v>
      </c>
      <c r="I3" s="47" t="s">
        <v>28</v>
      </c>
      <c r="J3" s="47" t="s">
        <v>29</v>
      </c>
      <c r="K3" s="47" t="s">
        <v>30</v>
      </c>
      <c r="L3" s="47" t="s">
        <v>31</v>
      </c>
      <c r="M3" s="47" t="s">
        <v>32</v>
      </c>
      <c r="N3" s="47" t="s">
        <v>33</v>
      </c>
      <c r="O3" s="68"/>
      <c r="P3" s="68" t="s">
        <v>50</v>
      </c>
      <c r="Q3" s="68" t="s">
        <v>29</v>
      </c>
      <c r="R3" s="68" t="s">
        <v>135</v>
      </c>
      <c r="S3" s="68" t="s">
        <v>31</v>
      </c>
      <c r="T3" s="68" t="s">
        <v>32</v>
      </c>
    </row>
    <row r="4" spans="1:20">
      <c r="A4" s="47" t="s">
        <v>69</v>
      </c>
      <c r="B4" s="78">
        <v>2300</v>
      </c>
      <c r="C4" s="78">
        <v>2678</v>
      </c>
      <c r="D4" s="78">
        <v>3056</v>
      </c>
      <c r="E4" s="78">
        <v>3434</v>
      </c>
      <c r="F4" s="78">
        <v>3812</v>
      </c>
      <c r="G4" s="78">
        <v>4190</v>
      </c>
      <c r="H4" s="47" t="s">
        <v>69</v>
      </c>
      <c r="I4" s="78">
        <v>-61</v>
      </c>
      <c r="J4" s="78">
        <v>102</v>
      </c>
      <c r="K4" s="78">
        <v>265</v>
      </c>
      <c r="L4" s="78">
        <v>428</v>
      </c>
      <c r="M4" s="78">
        <v>591</v>
      </c>
      <c r="N4" s="78">
        <v>754</v>
      </c>
      <c r="O4" s="68" t="s">
        <v>69</v>
      </c>
      <c r="P4" s="74">
        <v>2304</v>
      </c>
      <c r="Q4" s="74">
        <v>2686</v>
      </c>
      <c r="R4" s="74">
        <v>3068</v>
      </c>
      <c r="S4" s="74">
        <v>3450</v>
      </c>
      <c r="T4" s="74">
        <v>3832</v>
      </c>
    </row>
    <row r="5" spans="1:20">
      <c r="A5" s="47" t="s">
        <v>70</v>
      </c>
      <c r="B5" s="78">
        <v>2145</v>
      </c>
      <c r="C5" s="78">
        <v>2900</v>
      </c>
      <c r="D5" s="78">
        <v>3655</v>
      </c>
      <c r="E5" s="78">
        <v>4410</v>
      </c>
      <c r="F5" s="78">
        <v>5165</v>
      </c>
      <c r="G5" s="78">
        <v>5920</v>
      </c>
      <c r="H5" s="47" t="s">
        <v>70</v>
      </c>
      <c r="I5" s="78">
        <v>137</v>
      </c>
      <c r="J5" s="78">
        <v>465</v>
      </c>
      <c r="K5" s="78">
        <v>793</v>
      </c>
      <c r="L5" s="78">
        <v>1121</v>
      </c>
      <c r="M5" s="78">
        <v>1449</v>
      </c>
      <c r="N5" s="78">
        <v>1777</v>
      </c>
      <c r="O5" s="68" t="s">
        <v>70</v>
      </c>
      <c r="P5" s="74">
        <v>2153</v>
      </c>
      <c r="Q5" s="74">
        <v>2916</v>
      </c>
      <c r="R5" s="74">
        <v>3679</v>
      </c>
      <c r="S5" s="74">
        <v>4442</v>
      </c>
      <c r="T5" s="74">
        <v>5205</v>
      </c>
    </row>
    <row r="6" spans="1:20">
      <c r="A6" s="47" t="s">
        <v>71</v>
      </c>
      <c r="B6" s="78">
        <v>1990</v>
      </c>
      <c r="C6" s="78">
        <v>3122</v>
      </c>
      <c r="D6" s="78">
        <v>4254</v>
      </c>
      <c r="E6" s="78">
        <v>5386</v>
      </c>
      <c r="F6" s="78">
        <v>6518</v>
      </c>
      <c r="G6" s="78">
        <v>7650</v>
      </c>
      <c r="H6" s="47" t="s">
        <v>71</v>
      </c>
      <c r="I6" s="78">
        <v>335</v>
      </c>
      <c r="J6" s="78">
        <v>828</v>
      </c>
      <c r="K6" s="78">
        <v>1321</v>
      </c>
      <c r="L6" s="78">
        <v>1814</v>
      </c>
      <c r="M6" s="78">
        <v>2307</v>
      </c>
      <c r="N6" s="78">
        <v>2800</v>
      </c>
      <c r="O6" s="68" t="s">
        <v>71</v>
      </c>
      <c r="P6" s="74">
        <v>2002</v>
      </c>
      <c r="Q6" s="74">
        <v>3146</v>
      </c>
      <c r="R6" s="74">
        <v>4290</v>
      </c>
      <c r="S6" s="74">
        <v>5434</v>
      </c>
      <c r="T6" s="74">
        <v>6578</v>
      </c>
    </row>
    <row r="7" spans="1:20">
      <c r="A7" s="47" t="s">
        <v>72</v>
      </c>
      <c r="B7" s="78">
        <v>1835</v>
      </c>
      <c r="C7" s="78">
        <v>3344</v>
      </c>
      <c r="D7" s="78">
        <v>4853</v>
      </c>
      <c r="E7" s="78">
        <v>6362</v>
      </c>
      <c r="F7" s="78">
        <v>7871</v>
      </c>
      <c r="G7" s="78">
        <v>9380</v>
      </c>
      <c r="H7" s="47" t="s">
        <v>72</v>
      </c>
      <c r="I7" s="78">
        <v>533</v>
      </c>
      <c r="J7" s="78">
        <v>1191</v>
      </c>
      <c r="K7" s="78">
        <v>1849</v>
      </c>
      <c r="L7" s="78">
        <v>2507</v>
      </c>
      <c r="M7" s="78">
        <v>3165</v>
      </c>
      <c r="N7" s="78">
        <v>3823</v>
      </c>
      <c r="O7" s="68" t="s">
        <v>72</v>
      </c>
      <c r="P7" s="74">
        <v>1851</v>
      </c>
      <c r="Q7" s="74">
        <v>3376</v>
      </c>
      <c r="R7" s="74">
        <v>4901</v>
      </c>
      <c r="S7" s="74">
        <v>6426</v>
      </c>
      <c r="T7" s="74">
        <v>7951</v>
      </c>
    </row>
    <row r="8" spans="1:20">
      <c r="A8" s="47" t="s">
        <v>73</v>
      </c>
      <c r="B8" s="78">
        <v>1680</v>
      </c>
      <c r="C8" s="78">
        <v>3566</v>
      </c>
      <c r="D8" s="78">
        <v>5452</v>
      </c>
      <c r="E8" s="78">
        <v>7338</v>
      </c>
      <c r="F8" s="78">
        <v>9224</v>
      </c>
      <c r="G8" s="78">
        <v>11110</v>
      </c>
      <c r="H8" s="47" t="s">
        <v>73</v>
      </c>
      <c r="I8" s="78">
        <v>731</v>
      </c>
      <c r="J8" s="78">
        <v>1554</v>
      </c>
      <c r="K8" s="78">
        <v>2377</v>
      </c>
      <c r="L8" s="78">
        <v>3200</v>
      </c>
      <c r="M8" s="78">
        <v>4023</v>
      </c>
      <c r="N8" s="78">
        <v>4846</v>
      </c>
      <c r="O8" s="68" t="s">
        <v>73</v>
      </c>
      <c r="P8" s="74">
        <v>1700</v>
      </c>
      <c r="Q8" s="74">
        <v>3606</v>
      </c>
      <c r="R8" s="74">
        <v>5512</v>
      </c>
      <c r="S8" s="74">
        <v>7418</v>
      </c>
      <c r="T8" s="74">
        <v>9324</v>
      </c>
    </row>
    <row r="9" spans="1:20">
      <c r="A9" s="47" t="s">
        <v>74</v>
      </c>
      <c r="B9" s="78">
        <v>1525</v>
      </c>
      <c r="C9" s="78">
        <v>3788</v>
      </c>
      <c r="D9" s="78">
        <v>6051</v>
      </c>
      <c r="E9" s="78">
        <v>8314</v>
      </c>
      <c r="F9" s="78">
        <v>10577</v>
      </c>
      <c r="G9" s="78">
        <v>12840</v>
      </c>
      <c r="H9" s="47" t="s">
        <v>74</v>
      </c>
      <c r="I9" s="78">
        <v>929</v>
      </c>
      <c r="J9" s="78">
        <v>1917</v>
      </c>
      <c r="K9" s="78">
        <v>2905</v>
      </c>
      <c r="L9" s="78">
        <v>3893</v>
      </c>
      <c r="M9" s="78">
        <v>4881</v>
      </c>
      <c r="N9" s="78">
        <v>5869</v>
      </c>
      <c r="O9" s="68" t="s">
        <v>74</v>
      </c>
      <c r="P9" s="74">
        <v>1549</v>
      </c>
      <c r="Q9" s="74">
        <v>3836</v>
      </c>
      <c r="R9" s="74">
        <v>6123</v>
      </c>
      <c r="S9" s="74">
        <v>8410</v>
      </c>
      <c r="T9" s="74">
        <v>10697</v>
      </c>
    </row>
    <row r="10" spans="1:20">
      <c r="A10" s="47" t="s">
        <v>121</v>
      </c>
      <c r="B10" s="78">
        <v>1370</v>
      </c>
      <c r="C10" s="78">
        <v>4010</v>
      </c>
      <c r="D10" s="78">
        <v>6650</v>
      </c>
      <c r="E10" s="78">
        <v>9290</v>
      </c>
      <c r="F10" s="78">
        <v>11930</v>
      </c>
      <c r="G10" s="78">
        <v>14570</v>
      </c>
      <c r="H10" s="47" t="s">
        <v>121</v>
      </c>
      <c r="I10" s="78">
        <v>1127</v>
      </c>
      <c r="J10" s="78">
        <v>2280</v>
      </c>
      <c r="K10" s="78">
        <v>3433</v>
      </c>
      <c r="L10" s="78">
        <v>4586</v>
      </c>
      <c r="M10" s="78">
        <v>5739</v>
      </c>
      <c r="N10" s="78">
        <v>6892</v>
      </c>
      <c r="O10" s="68" t="s">
        <v>121</v>
      </c>
      <c r="P10" s="74">
        <v>1398</v>
      </c>
      <c r="Q10" s="74">
        <v>4066</v>
      </c>
      <c r="R10" s="74">
        <v>6734</v>
      </c>
      <c r="S10" s="74">
        <v>9402</v>
      </c>
      <c r="T10" s="74">
        <v>12070</v>
      </c>
    </row>
    <row r="11" spans="1:20">
      <c r="A11" s="47" t="s">
        <v>122</v>
      </c>
      <c r="B11" s="78">
        <v>1215</v>
      </c>
      <c r="C11" s="78">
        <v>4232</v>
      </c>
      <c r="D11" s="78">
        <v>7249</v>
      </c>
      <c r="E11" s="78">
        <v>10266</v>
      </c>
      <c r="F11" s="78">
        <v>13283</v>
      </c>
      <c r="G11" s="78">
        <v>16300</v>
      </c>
      <c r="H11" s="47" t="s">
        <v>122</v>
      </c>
      <c r="I11" s="78">
        <v>1325</v>
      </c>
      <c r="J11" s="78">
        <v>2643</v>
      </c>
      <c r="K11" s="78">
        <v>3961</v>
      </c>
      <c r="L11" s="78">
        <v>5279</v>
      </c>
      <c r="M11" s="78">
        <v>6597</v>
      </c>
      <c r="N11" s="78">
        <v>7915</v>
      </c>
      <c r="O11" s="68" t="s">
        <v>122</v>
      </c>
      <c r="P11" s="74">
        <v>1247</v>
      </c>
      <c r="Q11" s="74">
        <v>4296</v>
      </c>
      <c r="R11" s="74">
        <v>7345</v>
      </c>
      <c r="S11" s="74">
        <v>10394</v>
      </c>
      <c r="T11" s="74">
        <v>13443</v>
      </c>
    </row>
    <row r="12" spans="1:20">
      <c r="A12" s="47" t="s">
        <v>123</v>
      </c>
      <c r="B12" s="78">
        <v>1060</v>
      </c>
      <c r="C12" s="78">
        <v>4454</v>
      </c>
      <c r="D12" s="78">
        <v>7848</v>
      </c>
      <c r="E12" s="78">
        <v>11242</v>
      </c>
      <c r="F12" s="78">
        <v>14636</v>
      </c>
      <c r="G12" s="78">
        <v>18030</v>
      </c>
      <c r="H12" s="47" t="s">
        <v>123</v>
      </c>
      <c r="I12" s="78">
        <v>1523</v>
      </c>
      <c r="J12" s="78">
        <v>3006</v>
      </c>
      <c r="K12" s="78">
        <v>4489</v>
      </c>
      <c r="L12" s="78">
        <v>5972</v>
      </c>
      <c r="M12" s="78">
        <v>7455</v>
      </c>
      <c r="N12" s="78">
        <v>8938</v>
      </c>
    </row>
    <row r="13" spans="1:20">
      <c r="A13" s="47" t="s">
        <v>124</v>
      </c>
      <c r="B13" s="78">
        <v>905</v>
      </c>
      <c r="C13" s="78">
        <v>4676</v>
      </c>
      <c r="D13" s="78">
        <v>8447</v>
      </c>
      <c r="E13" s="78">
        <v>12218</v>
      </c>
      <c r="F13" s="78">
        <v>15989</v>
      </c>
      <c r="G13" s="78">
        <v>19760</v>
      </c>
      <c r="H13" s="47" t="s">
        <v>124</v>
      </c>
      <c r="I13" s="78">
        <v>1721</v>
      </c>
      <c r="J13" s="78">
        <v>3369</v>
      </c>
      <c r="K13" s="78">
        <v>5017</v>
      </c>
      <c r="L13" s="78">
        <v>6665</v>
      </c>
      <c r="M13" s="78">
        <v>8313</v>
      </c>
      <c r="N13" s="78">
        <v>9961</v>
      </c>
      <c r="O13" s="69" t="s">
        <v>35</v>
      </c>
      <c r="P13" s="69"/>
      <c r="Q13" s="69"/>
    </row>
    <row r="14" spans="1:20">
      <c r="A14" s="47" t="s">
        <v>22</v>
      </c>
      <c r="B14" s="78">
        <v>750</v>
      </c>
      <c r="C14" s="78">
        <v>4898</v>
      </c>
      <c r="D14" s="78">
        <v>9046</v>
      </c>
      <c r="E14" s="78">
        <v>13194</v>
      </c>
      <c r="F14" s="78">
        <v>17342</v>
      </c>
      <c r="G14" s="78">
        <v>21490</v>
      </c>
      <c r="H14" s="47" t="s">
        <v>22</v>
      </c>
      <c r="I14" s="78">
        <v>1919</v>
      </c>
      <c r="J14" s="78">
        <v>3732</v>
      </c>
      <c r="K14" s="78">
        <v>5545</v>
      </c>
      <c r="L14" s="78">
        <v>7358</v>
      </c>
      <c r="M14" s="78">
        <v>9171</v>
      </c>
      <c r="N14" s="78">
        <v>10984</v>
      </c>
      <c r="O14" s="68" t="s">
        <v>69</v>
      </c>
      <c r="P14" s="75">
        <v>-9206</v>
      </c>
      <c r="Q14" s="76">
        <v>-8954</v>
      </c>
      <c r="R14" s="75">
        <v>-8702</v>
      </c>
      <c r="S14" s="76">
        <v>-8450</v>
      </c>
      <c r="T14" s="75">
        <v>-8198</v>
      </c>
    </row>
    <row r="15" spans="1:20">
      <c r="A15" s="47" t="s">
        <v>23</v>
      </c>
      <c r="B15" s="78">
        <v>595</v>
      </c>
      <c r="C15" s="78">
        <v>5120</v>
      </c>
      <c r="D15" s="78">
        <v>9645</v>
      </c>
      <c r="E15" s="78">
        <v>14170</v>
      </c>
      <c r="F15" s="78">
        <v>18695</v>
      </c>
      <c r="G15" s="78">
        <v>23220</v>
      </c>
      <c r="H15" s="47" t="s">
        <v>23</v>
      </c>
      <c r="I15" s="78">
        <v>2117</v>
      </c>
      <c r="J15" s="78">
        <v>4095</v>
      </c>
      <c r="K15" s="78">
        <v>6073</v>
      </c>
      <c r="L15" s="78">
        <v>8051</v>
      </c>
      <c r="M15" s="78">
        <v>10029</v>
      </c>
      <c r="N15" s="78">
        <v>12007</v>
      </c>
      <c r="O15" s="68" t="s">
        <v>70</v>
      </c>
      <c r="P15" s="75">
        <v>-8738</v>
      </c>
      <c r="Q15" s="75">
        <v>-8234</v>
      </c>
      <c r="R15" s="75">
        <v>-7730</v>
      </c>
      <c r="S15" s="75">
        <v>-7226</v>
      </c>
      <c r="T15" s="75">
        <v>-6722</v>
      </c>
    </row>
    <row r="16" spans="1:20">
      <c r="A16" s="47" t="s">
        <v>24</v>
      </c>
      <c r="B16" s="78">
        <v>440</v>
      </c>
      <c r="C16" s="78">
        <v>5342</v>
      </c>
      <c r="D16" s="78">
        <v>10244</v>
      </c>
      <c r="E16" s="78">
        <v>15146</v>
      </c>
      <c r="F16" s="78">
        <v>20048</v>
      </c>
      <c r="G16" s="78">
        <v>24950</v>
      </c>
      <c r="H16" s="47" t="s">
        <v>24</v>
      </c>
      <c r="I16" s="78">
        <v>2315</v>
      </c>
      <c r="J16" s="78">
        <v>4458</v>
      </c>
      <c r="K16" s="78">
        <v>6601</v>
      </c>
      <c r="L16" s="78">
        <v>8744</v>
      </c>
      <c r="M16" s="78">
        <v>10887</v>
      </c>
      <c r="N16" s="78">
        <v>13030</v>
      </c>
      <c r="O16" s="68" t="s">
        <v>71</v>
      </c>
      <c r="P16" s="75">
        <v>-8270</v>
      </c>
      <c r="Q16" s="76">
        <v>-7514</v>
      </c>
      <c r="R16" s="75">
        <v>-6758</v>
      </c>
      <c r="S16" s="76">
        <v>-6002</v>
      </c>
      <c r="T16" s="75">
        <v>-5246</v>
      </c>
    </row>
    <row r="17" spans="1:20">
      <c r="A17" s="47" t="s">
        <v>25</v>
      </c>
      <c r="B17" s="78">
        <v>285</v>
      </c>
      <c r="C17" s="78">
        <v>5564</v>
      </c>
      <c r="D17" s="78">
        <v>10843</v>
      </c>
      <c r="E17" s="78">
        <v>16122</v>
      </c>
      <c r="F17" s="78">
        <v>21401</v>
      </c>
      <c r="G17" s="78">
        <v>26680</v>
      </c>
      <c r="H17" s="47" t="s">
        <v>25</v>
      </c>
      <c r="I17" s="78">
        <v>2513</v>
      </c>
      <c r="J17" s="78">
        <v>4821</v>
      </c>
      <c r="K17" s="78">
        <v>7129</v>
      </c>
      <c r="L17" s="78">
        <v>9437</v>
      </c>
      <c r="M17" s="78">
        <v>11745</v>
      </c>
      <c r="N17" s="78">
        <v>14053</v>
      </c>
      <c r="O17" s="68" t="s">
        <v>72</v>
      </c>
      <c r="P17" s="75">
        <v>-7802</v>
      </c>
      <c r="Q17" s="75">
        <v>-6794</v>
      </c>
      <c r="R17" s="75">
        <v>-5786</v>
      </c>
      <c r="S17" s="75">
        <v>-4778</v>
      </c>
      <c r="T17" s="75">
        <v>-3770</v>
      </c>
    </row>
    <row r="18" spans="1:20">
      <c r="A18" s="47" t="s">
        <v>26</v>
      </c>
      <c r="B18" s="78">
        <v>130</v>
      </c>
      <c r="C18" s="78">
        <v>5786</v>
      </c>
      <c r="D18" s="78">
        <v>11442</v>
      </c>
      <c r="E18" s="78">
        <v>17098</v>
      </c>
      <c r="F18" s="78">
        <v>22754</v>
      </c>
      <c r="G18" s="78">
        <v>28410</v>
      </c>
      <c r="H18" s="47" t="s">
        <v>26</v>
      </c>
      <c r="I18" s="78">
        <v>2711</v>
      </c>
      <c r="J18" s="78">
        <v>5184</v>
      </c>
      <c r="K18" s="78">
        <v>7657</v>
      </c>
      <c r="L18" s="78">
        <v>10130</v>
      </c>
      <c r="M18" s="78">
        <v>12603</v>
      </c>
      <c r="N18" s="78">
        <v>15076</v>
      </c>
      <c r="O18" s="68" t="s">
        <v>73</v>
      </c>
      <c r="P18" s="75">
        <v>-7334</v>
      </c>
      <c r="Q18" s="76">
        <v>-6074</v>
      </c>
      <c r="R18" s="75">
        <v>-4814</v>
      </c>
      <c r="S18" s="76">
        <v>-3554</v>
      </c>
      <c r="T18" s="75">
        <v>-2294</v>
      </c>
    </row>
    <row r="19" spans="1:20">
      <c r="A19" s="47" t="s">
        <v>27</v>
      </c>
      <c r="B19" s="78">
        <v>-25</v>
      </c>
      <c r="C19" s="78">
        <v>6008</v>
      </c>
      <c r="D19" s="78">
        <v>12041</v>
      </c>
      <c r="E19" s="78">
        <v>18074</v>
      </c>
      <c r="F19" s="78">
        <v>24107</v>
      </c>
      <c r="G19" s="78">
        <v>30140</v>
      </c>
      <c r="H19" s="47" t="s">
        <v>27</v>
      </c>
      <c r="I19" s="78">
        <v>2909</v>
      </c>
      <c r="J19" s="78">
        <v>5547</v>
      </c>
      <c r="K19" s="78">
        <v>8185</v>
      </c>
      <c r="L19" s="78">
        <v>10823</v>
      </c>
      <c r="M19" s="78">
        <v>13461</v>
      </c>
      <c r="N19" s="78">
        <v>16099</v>
      </c>
      <c r="O19" s="68" t="s">
        <v>74</v>
      </c>
      <c r="P19" s="75">
        <v>-6866</v>
      </c>
      <c r="Q19" s="75">
        <v>-5354</v>
      </c>
      <c r="R19" s="75">
        <v>-3842</v>
      </c>
      <c r="S19" s="75">
        <v>-2330</v>
      </c>
      <c r="T19" s="75">
        <v>-818</v>
      </c>
    </row>
    <row r="20" spans="1:20">
      <c r="O20" s="68" t="s">
        <v>121</v>
      </c>
      <c r="P20" s="75">
        <v>-6398</v>
      </c>
      <c r="Q20" s="76">
        <v>-4634</v>
      </c>
      <c r="R20" s="75">
        <v>-2870</v>
      </c>
      <c r="S20" s="76">
        <v>-1106</v>
      </c>
      <c r="T20" s="74">
        <v>658</v>
      </c>
    </row>
    <row r="21" spans="1:20">
      <c r="O21" s="68" t="s">
        <v>122</v>
      </c>
      <c r="P21" s="75">
        <v>-5930</v>
      </c>
      <c r="Q21" s="75">
        <v>-3914</v>
      </c>
      <c r="R21" s="75">
        <v>-1898</v>
      </c>
      <c r="S21" s="74">
        <v>118</v>
      </c>
      <c r="T21" s="74">
        <v>2134</v>
      </c>
    </row>
    <row r="22" spans="1:20">
      <c r="A22" s="107" t="s">
        <v>35</v>
      </c>
      <c r="B22" s="107"/>
      <c r="C22" s="107"/>
      <c r="H22" s="107" t="s">
        <v>79</v>
      </c>
      <c r="I22" s="107"/>
      <c r="J22" s="107"/>
      <c r="K22" s="107"/>
      <c r="L22" s="107"/>
    </row>
    <row r="23" spans="1:20">
      <c r="H23" s="47"/>
      <c r="I23" s="47"/>
      <c r="J23" s="47"/>
      <c r="K23" s="47"/>
      <c r="L23" s="47"/>
      <c r="M23" s="47"/>
      <c r="N23" s="47"/>
      <c r="O23" s="69" t="s">
        <v>36</v>
      </c>
      <c r="P23" s="69"/>
      <c r="Q23" s="69"/>
    </row>
    <row r="24" spans="1:20">
      <c r="A24" s="73" t="s">
        <v>143</v>
      </c>
      <c r="B24" s="47" t="s">
        <v>28</v>
      </c>
      <c r="C24" s="47" t="s">
        <v>29</v>
      </c>
      <c r="D24" s="47" t="s">
        <v>30</v>
      </c>
      <c r="E24" s="47" t="s">
        <v>31</v>
      </c>
      <c r="F24" s="47" t="s">
        <v>32</v>
      </c>
      <c r="G24" s="47" t="s">
        <v>33</v>
      </c>
      <c r="H24" s="73" t="s">
        <v>143</v>
      </c>
      <c r="I24" s="47" t="s">
        <v>28</v>
      </c>
      <c r="J24" s="47" t="s">
        <v>29</v>
      </c>
      <c r="K24" s="47" t="s">
        <v>30</v>
      </c>
      <c r="L24" s="47" t="s">
        <v>31</v>
      </c>
      <c r="M24" s="47" t="s">
        <v>32</v>
      </c>
      <c r="N24" s="47" t="s">
        <v>33</v>
      </c>
      <c r="O24" s="68" t="s">
        <v>69</v>
      </c>
      <c r="P24" s="74">
        <v>61</v>
      </c>
      <c r="Q24" s="74">
        <v>102</v>
      </c>
      <c r="R24" s="74">
        <v>265</v>
      </c>
      <c r="S24" s="74">
        <v>428</v>
      </c>
      <c r="T24" s="74">
        <v>591</v>
      </c>
    </row>
    <row r="25" spans="1:20">
      <c r="A25" s="47" t="s">
        <v>69</v>
      </c>
      <c r="B25" s="77">
        <v>-9214</v>
      </c>
      <c r="C25" s="77">
        <v>-8790</v>
      </c>
      <c r="D25" s="77">
        <v>-8366</v>
      </c>
      <c r="E25" s="77">
        <v>-7942</v>
      </c>
      <c r="F25" s="77">
        <v>-7518</v>
      </c>
      <c r="G25" s="77">
        <v>-7094</v>
      </c>
      <c r="H25" s="47" t="s">
        <v>69</v>
      </c>
      <c r="I25" s="78">
        <v>411</v>
      </c>
      <c r="J25" s="78">
        <v>731</v>
      </c>
      <c r="K25" s="78">
        <v>1051</v>
      </c>
      <c r="L25" s="78">
        <v>1371</v>
      </c>
      <c r="M25" s="78">
        <v>1691</v>
      </c>
      <c r="N25" s="78">
        <v>2011</v>
      </c>
      <c r="O25" s="68" t="s">
        <v>70</v>
      </c>
      <c r="P25" s="74">
        <v>137</v>
      </c>
      <c r="Q25" s="74">
        <v>465</v>
      </c>
      <c r="R25" s="74">
        <v>793</v>
      </c>
      <c r="S25" s="74">
        <v>1121</v>
      </c>
      <c r="T25" s="74">
        <v>1449</v>
      </c>
    </row>
    <row r="26" spans="1:20">
      <c r="A26" s="47" t="s">
        <v>70</v>
      </c>
      <c r="B26" s="77">
        <v>-8754</v>
      </c>
      <c r="C26" s="77">
        <v>-8266</v>
      </c>
      <c r="D26" s="77">
        <v>-7778</v>
      </c>
      <c r="E26" s="77">
        <v>-7290</v>
      </c>
      <c r="F26" s="77">
        <v>-6802</v>
      </c>
      <c r="G26" s="77">
        <v>-6314</v>
      </c>
      <c r="H26" s="47" t="s">
        <v>70</v>
      </c>
      <c r="I26" s="78">
        <v>1227</v>
      </c>
      <c r="J26" s="78">
        <v>1868</v>
      </c>
      <c r="K26" s="78">
        <v>2509</v>
      </c>
      <c r="L26" s="78">
        <v>3150</v>
      </c>
      <c r="M26" s="78">
        <v>3791</v>
      </c>
      <c r="N26" s="78">
        <v>4432</v>
      </c>
      <c r="O26" s="68" t="s">
        <v>71</v>
      </c>
      <c r="P26" s="74">
        <v>335</v>
      </c>
      <c r="Q26" s="74">
        <v>828</v>
      </c>
      <c r="R26" s="74">
        <v>1321</v>
      </c>
      <c r="S26" s="74">
        <v>1814</v>
      </c>
      <c r="T26" s="74">
        <v>2307</v>
      </c>
    </row>
    <row r="27" spans="1:20">
      <c r="A27" s="47" t="s">
        <v>71</v>
      </c>
      <c r="B27" s="77">
        <v>-8294</v>
      </c>
      <c r="C27" s="77">
        <v>-7742</v>
      </c>
      <c r="D27" s="77">
        <v>-7190</v>
      </c>
      <c r="E27" s="77">
        <v>-6638</v>
      </c>
      <c r="F27" s="77">
        <v>-6086</v>
      </c>
      <c r="G27" s="77">
        <v>-5534</v>
      </c>
      <c r="H27" s="47" t="s">
        <v>71</v>
      </c>
      <c r="I27" s="78">
        <v>2043</v>
      </c>
      <c r="J27" s="78">
        <v>3005</v>
      </c>
      <c r="K27" s="78">
        <v>3967</v>
      </c>
      <c r="L27" s="78">
        <v>4929</v>
      </c>
      <c r="M27" s="78">
        <v>5891</v>
      </c>
      <c r="N27" s="78">
        <v>6853</v>
      </c>
      <c r="O27" s="68" t="s">
        <v>72</v>
      </c>
      <c r="P27" s="74">
        <v>533</v>
      </c>
      <c r="Q27" s="74">
        <v>1191</v>
      </c>
      <c r="R27" s="74">
        <v>1849</v>
      </c>
      <c r="S27" s="74">
        <v>2507</v>
      </c>
      <c r="T27" s="74">
        <v>3165</v>
      </c>
    </row>
    <row r="28" spans="1:20">
      <c r="A28" s="47" t="s">
        <v>72</v>
      </c>
      <c r="B28" s="77">
        <v>-7834</v>
      </c>
      <c r="C28" s="77">
        <v>-7218</v>
      </c>
      <c r="D28" s="77">
        <v>-6602</v>
      </c>
      <c r="E28" s="77">
        <v>-5986</v>
      </c>
      <c r="F28" s="77">
        <v>-5370</v>
      </c>
      <c r="G28" s="77">
        <v>-4754</v>
      </c>
      <c r="H28" s="47" t="s">
        <v>72</v>
      </c>
      <c r="I28" s="78">
        <v>2859</v>
      </c>
      <c r="J28" s="78">
        <v>4142</v>
      </c>
      <c r="K28" s="78">
        <v>5425</v>
      </c>
      <c r="L28" s="78">
        <v>6708</v>
      </c>
      <c r="M28" s="78">
        <v>7991</v>
      </c>
      <c r="N28" s="78">
        <v>9274</v>
      </c>
      <c r="O28" s="68" t="s">
        <v>73</v>
      </c>
      <c r="P28" s="74">
        <v>731</v>
      </c>
      <c r="Q28" s="74">
        <v>1554</v>
      </c>
      <c r="R28" s="74">
        <v>2377</v>
      </c>
      <c r="S28" s="74">
        <v>3200</v>
      </c>
      <c r="T28" s="74">
        <v>4023</v>
      </c>
    </row>
    <row r="29" spans="1:20">
      <c r="A29" s="47" t="s">
        <v>73</v>
      </c>
      <c r="B29" s="77">
        <v>-7374</v>
      </c>
      <c r="C29" s="77">
        <v>-6694</v>
      </c>
      <c r="D29" s="77">
        <v>-6014</v>
      </c>
      <c r="E29" s="77">
        <v>-5334</v>
      </c>
      <c r="F29" s="77">
        <v>-4654</v>
      </c>
      <c r="G29" s="77">
        <v>-3974</v>
      </c>
      <c r="H29" s="47" t="s">
        <v>73</v>
      </c>
      <c r="I29" s="78">
        <v>3675</v>
      </c>
      <c r="J29" s="78">
        <v>5279</v>
      </c>
      <c r="K29" s="78">
        <v>6883</v>
      </c>
      <c r="L29" s="78">
        <v>8487</v>
      </c>
      <c r="M29" s="78">
        <v>10091</v>
      </c>
      <c r="N29" s="78">
        <v>11695</v>
      </c>
      <c r="O29" s="68" t="s">
        <v>74</v>
      </c>
      <c r="P29" s="74">
        <v>929</v>
      </c>
      <c r="Q29" s="74">
        <v>1917</v>
      </c>
      <c r="R29" s="74">
        <v>2905</v>
      </c>
      <c r="S29" s="74">
        <v>3893</v>
      </c>
      <c r="T29" s="74">
        <v>4881</v>
      </c>
    </row>
    <row r="30" spans="1:20">
      <c r="A30" s="47" t="s">
        <v>74</v>
      </c>
      <c r="B30" s="77">
        <v>-6914</v>
      </c>
      <c r="C30" s="77">
        <v>-6170</v>
      </c>
      <c r="D30" s="77">
        <v>-5426</v>
      </c>
      <c r="E30" s="77">
        <v>-4682</v>
      </c>
      <c r="F30" s="77">
        <v>-3938</v>
      </c>
      <c r="G30" s="77">
        <v>-3194</v>
      </c>
      <c r="H30" s="47" t="s">
        <v>74</v>
      </c>
      <c r="I30" s="78">
        <v>4491</v>
      </c>
      <c r="J30" s="78">
        <v>6416</v>
      </c>
      <c r="K30" s="78">
        <v>8341</v>
      </c>
      <c r="L30" s="78">
        <v>10266</v>
      </c>
      <c r="M30" s="78">
        <v>12191</v>
      </c>
      <c r="N30" s="78">
        <v>14116</v>
      </c>
      <c r="O30" s="68" t="s">
        <v>121</v>
      </c>
      <c r="P30" s="74">
        <v>1127</v>
      </c>
      <c r="Q30" s="74">
        <v>2280</v>
      </c>
      <c r="R30" s="74">
        <v>3433</v>
      </c>
      <c r="S30" s="74">
        <v>4586</v>
      </c>
      <c r="T30" s="74">
        <v>5739</v>
      </c>
    </row>
    <row r="31" spans="1:20">
      <c r="A31" s="47" t="s">
        <v>121</v>
      </c>
      <c r="B31" s="77">
        <v>-6454</v>
      </c>
      <c r="C31" s="77">
        <v>-5646</v>
      </c>
      <c r="D31" s="77">
        <v>-4838</v>
      </c>
      <c r="E31" s="77">
        <v>-4030</v>
      </c>
      <c r="F31" s="77">
        <v>-3222</v>
      </c>
      <c r="G31" s="77">
        <v>-2414</v>
      </c>
      <c r="H31" s="47" t="s">
        <v>121</v>
      </c>
      <c r="I31" s="78">
        <v>5307</v>
      </c>
      <c r="J31" s="78">
        <v>7553</v>
      </c>
      <c r="K31" s="78">
        <v>9799</v>
      </c>
      <c r="L31" s="78">
        <v>12045</v>
      </c>
      <c r="M31" s="78">
        <v>14291</v>
      </c>
      <c r="N31" s="78">
        <v>16537</v>
      </c>
      <c r="O31" s="68" t="s">
        <v>122</v>
      </c>
      <c r="P31" s="74">
        <v>1325</v>
      </c>
      <c r="Q31" s="74">
        <v>2643</v>
      </c>
      <c r="R31" s="74">
        <v>3961</v>
      </c>
      <c r="S31" s="74">
        <v>5279</v>
      </c>
      <c r="T31" s="74">
        <v>6597</v>
      </c>
    </row>
    <row r="32" spans="1:20">
      <c r="A32" s="47" t="s">
        <v>122</v>
      </c>
      <c r="B32" s="77">
        <v>-5994</v>
      </c>
      <c r="C32" s="77">
        <v>-5122</v>
      </c>
      <c r="D32" s="77">
        <v>-4250</v>
      </c>
      <c r="E32" s="77">
        <v>-3378</v>
      </c>
      <c r="F32" s="77">
        <v>-2506</v>
      </c>
      <c r="G32" s="77">
        <v>-1634</v>
      </c>
      <c r="H32" s="47" t="s">
        <v>122</v>
      </c>
      <c r="I32" s="78">
        <v>6123</v>
      </c>
      <c r="J32" s="78">
        <v>8690</v>
      </c>
      <c r="K32" s="78">
        <v>11257</v>
      </c>
      <c r="L32" s="78">
        <v>13824</v>
      </c>
      <c r="M32" s="78">
        <v>16391</v>
      </c>
      <c r="N32" s="78">
        <v>18958</v>
      </c>
      <c r="O32" s="68"/>
      <c r="P32" s="9"/>
      <c r="Q32" s="9"/>
      <c r="R32" s="9"/>
      <c r="S32" s="9"/>
      <c r="T32" s="9"/>
    </row>
    <row r="33" spans="1:20">
      <c r="A33" s="47" t="s">
        <v>123</v>
      </c>
      <c r="B33" s="77">
        <v>-5534</v>
      </c>
      <c r="C33" s="77">
        <v>-4598</v>
      </c>
      <c r="D33" s="77">
        <v>-3662</v>
      </c>
      <c r="E33" s="77">
        <v>-2726</v>
      </c>
      <c r="F33" s="77">
        <v>-1790</v>
      </c>
      <c r="G33" s="77">
        <v>-854</v>
      </c>
      <c r="H33" s="47" t="s">
        <v>123</v>
      </c>
      <c r="I33" s="78">
        <v>6939</v>
      </c>
      <c r="J33" s="78">
        <v>9827</v>
      </c>
      <c r="K33" s="78">
        <v>12715</v>
      </c>
      <c r="L33" s="78">
        <v>15603</v>
      </c>
      <c r="M33" s="78">
        <v>18491</v>
      </c>
      <c r="N33" s="78">
        <v>21379</v>
      </c>
      <c r="O33" s="69" t="s">
        <v>67</v>
      </c>
      <c r="P33" s="69"/>
      <c r="Q33" s="69"/>
      <c r="R33" s="69"/>
      <c r="S33" s="69"/>
    </row>
    <row r="34" spans="1:20">
      <c r="A34" s="47" t="s">
        <v>124</v>
      </c>
      <c r="B34" s="77">
        <v>-5074</v>
      </c>
      <c r="C34" s="77">
        <v>-4074</v>
      </c>
      <c r="D34" s="77">
        <v>-3074</v>
      </c>
      <c r="E34" s="77">
        <v>-2074</v>
      </c>
      <c r="F34" s="77">
        <v>-1074</v>
      </c>
      <c r="G34" s="77">
        <v>-74</v>
      </c>
      <c r="H34" s="47" t="s">
        <v>124</v>
      </c>
      <c r="I34" s="78">
        <v>7755</v>
      </c>
      <c r="J34" s="78">
        <v>10964</v>
      </c>
      <c r="K34" s="78">
        <v>14173</v>
      </c>
      <c r="L34" s="78">
        <v>17382</v>
      </c>
      <c r="M34" s="78">
        <v>20591</v>
      </c>
      <c r="N34" s="78">
        <v>23800</v>
      </c>
      <c r="O34" s="68" t="s">
        <v>69</v>
      </c>
      <c r="P34" s="9">
        <v>421</v>
      </c>
      <c r="Q34" s="9">
        <v>751</v>
      </c>
      <c r="R34" s="9">
        <v>1081</v>
      </c>
      <c r="S34" s="9">
        <v>1411</v>
      </c>
      <c r="T34" s="9">
        <v>1741</v>
      </c>
    </row>
    <row r="35" spans="1:20">
      <c r="A35" s="47" t="s">
        <v>22</v>
      </c>
      <c r="B35" s="77">
        <v>-4614</v>
      </c>
      <c r="C35" s="77">
        <v>-3550</v>
      </c>
      <c r="D35" s="77">
        <v>-2486</v>
      </c>
      <c r="E35" s="77">
        <v>-1422</v>
      </c>
      <c r="F35" s="77">
        <v>-358</v>
      </c>
      <c r="G35" s="78">
        <v>706</v>
      </c>
      <c r="H35" s="47" t="s">
        <v>22</v>
      </c>
      <c r="I35" s="78">
        <v>8571</v>
      </c>
      <c r="J35" s="78">
        <v>12101</v>
      </c>
      <c r="K35" s="78">
        <v>15631</v>
      </c>
      <c r="L35" s="78">
        <v>19161</v>
      </c>
      <c r="M35" s="78">
        <v>22691</v>
      </c>
      <c r="N35" s="78">
        <v>26221</v>
      </c>
      <c r="O35" s="68" t="s">
        <v>70</v>
      </c>
      <c r="P35" s="52">
        <v>1247</v>
      </c>
      <c r="Q35" s="52">
        <v>1907</v>
      </c>
      <c r="R35" s="52">
        <v>2567</v>
      </c>
      <c r="S35" s="52">
        <v>3227</v>
      </c>
      <c r="T35" s="52">
        <v>3887</v>
      </c>
    </row>
    <row r="36" spans="1:20">
      <c r="A36" s="47" t="s">
        <v>23</v>
      </c>
      <c r="B36" s="77">
        <v>-4154</v>
      </c>
      <c r="C36" s="77">
        <v>-3026</v>
      </c>
      <c r="D36" s="77">
        <v>-1898</v>
      </c>
      <c r="E36" s="77">
        <v>-770</v>
      </c>
      <c r="F36" s="78">
        <v>358</v>
      </c>
      <c r="G36" s="78">
        <v>1486</v>
      </c>
      <c r="H36" s="47" t="s">
        <v>23</v>
      </c>
      <c r="I36" s="78">
        <v>9387</v>
      </c>
      <c r="J36" s="78">
        <v>13238</v>
      </c>
      <c r="K36" s="78">
        <v>17089</v>
      </c>
      <c r="L36" s="78">
        <v>20940</v>
      </c>
      <c r="M36" s="78">
        <v>24791</v>
      </c>
      <c r="N36" s="78">
        <v>28642</v>
      </c>
      <c r="O36" s="68" t="s">
        <v>71</v>
      </c>
      <c r="P36" s="9">
        <v>2073</v>
      </c>
      <c r="Q36" s="9">
        <v>3063</v>
      </c>
      <c r="R36" s="9">
        <v>4053</v>
      </c>
      <c r="S36" s="9">
        <v>5043</v>
      </c>
      <c r="T36" s="9">
        <v>6033</v>
      </c>
    </row>
    <row r="37" spans="1:20">
      <c r="A37" s="47" t="s">
        <v>24</v>
      </c>
      <c r="B37" s="77">
        <v>-3694</v>
      </c>
      <c r="C37" s="77">
        <v>-2502</v>
      </c>
      <c r="D37" s="77">
        <v>-1310</v>
      </c>
      <c r="E37" s="77">
        <v>-118</v>
      </c>
      <c r="F37" s="78">
        <v>1074</v>
      </c>
      <c r="G37" s="78">
        <v>2266</v>
      </c>
      <c r="H37" s="47" t="s">
        <v>24</v>
      </c>
      <c r="I37" s="78">
        <v>10203</v>
      </c>
      <c r="J37" s="78">
        <v>14375</v>
      </c>
      <c r="K37" s="78">
        <v>18547</v>
      </c>
      <c r="L37" s="78">
        <v>22719</v>
      </c>
      <c r="M37" s="78">
        <v>26891</v>
      </c>
      <c r="N37" s="78">
        <v>31063</v>
      </c>
      <c r="O37" s="68" t="s">
        <v>72</v>
      </c>
      <c r="P37" s="52">
        <v>2899</v>
      </c>
      <c r="Q37" s="52">
        <v>4219</v>
      </c>
      <c r="R37" s="52">
        <v>5539</v>
      </c>
      <c r="S37" s="52">
        <v>6859</v>
      </c>
      <c r="T37" s="52">
        <v>8179</v>
      </c>
    </row>
    <row r="38" spans="1:20">
      <c r="A38" s="47" t="s">
        <v>25</v>
      </c>
      <c r="B38" s="77">
        <v>-3234</v>
      </c>
      <c r="C38" s="77">
        <v>-1978</v>
      </c>
      <c r="D38" s="77">
        <v>-722</v>
      </c>
      <c r="E38" s="78">
        <v>534</v>
      </c>
      <c r="F38" s="78">
        <v>1790</v>
      </c>
      <c r="G38" s="78">
        <v>3046</v>
      </c>
      <c r="H38" s="47" t="s">
        <v>25</v>
      </c>
      <c r="I38" s="78">
        <v>11019</v>
      </c>
      <c r="J38" s="78">
        <v>15512</v>
      </c>
      <c r="K38" s="78">
        <v>20005</v>
      </c>
      <c r="L38" s="78">
        <v>24498</v>
      </c>
      <c r="M38" s="78">
        <v>28991</v>
      </c>
      <c r="N38" s="78">
        <v>33484</v>
      </c>
      <c r="O38" s="68" t="s">
        <v>73</v>
      </c>
      <c r="P38" s="9">
        <v>3725</v>
      </c>
      <c r="Q38" s="9">
        <v>5375</v>
      </c>
      <c r="R38" s="9">
        <v>7025</v>
      </c>
      <c r="S38" s="9">
        <v>8675</v>
      </c>
      <c r="T38" s="9">
        <v>10325</v>
      </c>
    </row>
    <row r="39" spans="1:20">
      <c r="A39" s="47" t="s">
        <v>26</v>
      </c>
      <c r="B39" s="77">
        <v>-2774</v>
      </c>
      <c r="C39" s="77">
        <v>-1454</v>
      </c>
      <c r="D39" s="77">
        <v>-134</v>
      </c>
      <c r="E39" s="78">
        <v>1186</v>
      </c>
      <c r="F39" s="78">
        <v>2506</v>
      </c>
      <c r="G39" s="78">
        <v>3826</v>
      </c>
      <c r="H39" s="47" t="s">
        <v>26</v>
      </c>
      <c r="I39" s="78">
        <v>11835</v>
      </c>
      <c r="J39" s="78">
        <v>16649</v>
      </c>
      <c r="K39" s="78">
        <v>21463</v>
      </c>
      <c r="L39" s="78">
        <v>26277</v>
      </c>
      <c r="M39" s="78">
        <v>31091</v>
      </c>
      <c r="N39" s="78">
        <v>35905</v>
      </c>
      <c r="O39" s="68" t="s">
        <v>74</v>
      </c>
      <c r="P39" s="52">
        <v>4551</v>
      </c>
      <c r="Q39" s="52">
        <v>6531</v>
      </c>
      <c r="R39" s="52">
        <v>8511</v>
      </c>
      <c r="S39" s="52">
        <v>10491</v>
      </c>
      <c r="T39" s="52">
        <v>12471</v>
      </c>
    </row>
    <row r="40" spans="1:20">
      <c r="A40" s="47" t="s">
        <v>27</v>
      </c>
      <c r="B40" s="77">
        <v>-2314</v>
      </c>
      <c r="C40" s="77">
        <v>-930</v>
      </c>
      <c r="D40" s="78">
        <v>454</v>
      </c>
      <c r="E40" s="78">
        <v>1838</v>
      </c>
      <c r="F40" s="78">
        <v>3222</v>
      </c>
      <c r="G40" s="78">
        <v>4606</v>
      </c>
      <c r="H40" s="47" t="s">
        <v>27</v>
      </c>
      <c r="I40" s="78">
        <v>12651</v>
      </c>
      <c r="J40" s="78">
        <v>17786</v>
      </c>
      <c r="K40" s="78">
        <v>22921</v>
      </c>
      <c r="L40" s="78">
        <v>28056</v>
      </c>
      <c r="M40" s="78">
        <v>33191</v>
      </c>
      <c r="N40" s="78">
        <v>38326</v>
      </c>
      <c r="O40" s="68" t="s">
        <v>121</v>
      </c>
      <c r="P40" s="9">
        <v>5377</v>
      </c>
      <c r="Q40" s="9">
        <v>7687</v>
      </c>
      <c r="R40" s="9">
        <v>9997</v>
      </c>
      <c r="S40" s="9">
        <v>12307</v>
      </c>
      <c r="T40" s="9">
        <v>14617</v>
      </c>
    </row>
    <row r="41" spans="1:20">
      <c r="H41" s="64" t="s">
        <v>78</v>
      </c>
      <c r="I41" s="47" t="s">
        <v>28</v>
      </c>
      <c r="J41" s="47" t="s">
        <v>29</v>
      </c>
      <c r="K41" s="47" t="s">
        <v>30</v>
      </c>
      <c r="L41" s="47" t="s">
        <v>31</v>
      </c>
      <c r="M41" s="47" t="s">
        <v>32</v>
      </c>
      <c r="N41" s="47" t="s">
        <v>33</v>
      </c>
      <c r="O41" s="68" t="s">
        <v>122</v>
      </c>
      <c r="P41" s="52">
        <v>6203</v>
      </c>
      <c r="Q41" s="52">
        <v>8843</v>
      </c>
      <c r="R41" s="52">
        <v>11483</v>
      </c>
      <c r="S41" s="52">
        <v>14123</v>
      </c>
      <c r="T41" s="52">
        <v>16763</v>
      </c>
    </row>
    <row r="42" spans="1:20">
      <c r="H42" s="47" t="s">
        <v>69</v>
      </c>
      <c r="I42" s="78">
        <v>1725</v>
      </c>
      <c r="J42" s="78">
        <v>2145</v>
      </c>
      <c r="K42" s="78">
        <v>2565</v>
      </c>
      <c r="L42" s="78">
        <v>2985</v>
      </c>
      <c r="M42" s="78">
        <v>3405</v>
      </c>
      <c r="N42" s="78">
        <v>3825</v>
      </c>
      <c r="O42" s="68"/>
      <c r="P42" s="9"/>
      <c r="Q42" s="9"/>
      <c r="R42" s="9"/>
      <c r="S42" s="9"/>
      <c r="T42" s="9"/>
    </row>
    <row r="43" spans="1:20">
      <c r="H43" s="47" t="s">
        <v>70</v>
      </c>
      <c r="I43" s="78">
        <v>3010</v>
      </c>
      <c r="J43" s="78">
        <v>3851</v>
      </c>
      <c r="K43" s="78">
        <v>4692</v>
      </c>
      <c r="L43" s="78">
        <v>5533</v>
      </c>
      <c r="M43" s="78">
        <v>6374</v>
      </c>
      <c r="N43" s="78">
        <v>7215</v>
      </c>
      <c r="O43" s="70" t="s">
        <v>180</v>
      </c>
      <c r="P43" s="70"/>
      <c r="Q43" s="70"/>
      <c r="R43" s="70"/>
      <c r="S43" s="9"/>
      <c r="T43" s="9"/>
    </row>
    <row r="44" spans="1:20">
      <c r="H44" s="47" t="s">
        <v>71</v>
      </c>
      <c r="I44" s="78">
        <v>4295</v>
      </c>
      <c r="J44" s="78">
        <v>5557</v>
      </c>
      <c r="K44" s="78">
        <v>6819</v>
      </c>
      <c r="L44" s="78">
        <v>8081</v>
      </c>
      <c r="M44" s="78">
        <v>9343</v>
      </c>
      <c r="N44" s="78">
        <v>10605</v>
      </c>
      <c r="O44" s="68" t="s">
        <v>69</v>
      </c>
      <c r="P44" s="52">
        <v>1735</v>
      </c>
      <c r="Q44" s="52">
        <v>2165</v>
      </c>
      <c r="R44" s="52">
        <v>2595</v>
      </c>
      <c r="S44" s="52">
        <v>3025</v>
      </c>
      <c r="T44" s="52">
        <v>3455</v>
      </c>
    </row>
    <row r="45" spans="1:20">
      <c r="H45" s="47" t="s">
        <v>72</v>
      </c>
      <c r="I45" s="78">
        <v>5580</v>
      </c>
      <c r="J45" s="78">
        <v>7263</v>
      </c>
      <c r="K45" s="78">
        <v>8946</v>
      </c>
      <c r="L45" s="78">
        <v>10629</v>
      </c>
      <c r="M45" s="78">
        <v>12312</v>
      </c>
      <c r="N45" s="78">
        <v>13995</v>
      </c>
      <c r="O45" s="68" t="s">
        <v>70</v>
      </c>
      <c r="P45" s="52">
        <v>3030</v>
      </c>
      <c r="Q45" s="52">
        <v>3891</v>
      </c>
      <c r="R45" s="52">
        <v>4752</v>
      </c>
      <c r="S45" s="52">
        <v>5613</v>
      </c>
      <c r="T45" s="52">
        <v>6474</v>
      </c>
    </row>
    <row r="46" spans="1:20">
      <c r="H46" s="47" t="s">
        <v>73</v>
      </c>
      <c r="I46" s="78">
        <v>6865</v>
      </c>
      <c r="J46" s="78">
        <v>8969</v>
      </c>
      <c r="K46" s="78">
        <v>11073</v>
      </c>
      <c r="L46" s="78">
        <v>13177</v>
      </c>
      <c r="M46" s="78">
        <v>15281</v>
      </c>
      <c r="N46" s="78">
        <v>17385</v>
      </c>
      <c r="O46" s="68" t="s">
        <v>71</v>
      </c>
      <c r="P46" s="52">
        <v>4325</v>
      </c>
      <c r="Q46" s="52">
        <v>5617</v>
      </c>
      <c r="R46" s="52">
        <v>6909</v>
      </c>
      <c r="S46" s="52">
        <v>8201</v>
      </c>
      <c r="T46" s="52">
        <v>9493</v>
      </c>
    </row>
    <row r="47" spans="1:20">
      <c r="H47" s="47" t="s">
        <v>74</v>
      </c>
      <c r="I47" s="78">
        <v>8150</v>
      </c>
      <c r="J47" s="78">
        <v>10675</v>
      </c>
      <c r="K47" s="78">
        <v>13200</v>
      </c>
      <c r="L47" s="78">
        <v>15725</v>
      </c>
      <c r="M47" s="78">
        <v>18250</v>
      </c>
      <c r="N47" s="78">
        <v>20775</v>
      </c>
      <c r="O47" s="68" t="s">
        <v>72</v>
      </c>
      <c r="P47" s="52">
        <v>5620</v>
      </c>
      <c r="Q47" s="52">
        <v>7343</v>
      </c>
      <c r="R47" s="52">
        <v>9066</v>
      </c>
      <c r="S47" s="52">
        <v>10789</v>
      </c>
      <c r="T47" s="52">
        <v>12512</v>
      </c>
    </row>
    <row r="48" spans="1:20">
      <c r="H48" s="47" t="s">
        <v>121</v>
      </c>
      <c r="I48" s="78">
        <v>9435</v>
      </c>
      <c r="J48" s="78">
        <v>12381</v>
      </c>
      <c r="K48" s="78">
        <v>15327</v>
      </c>
      <c r="L48" s="78">
        <v>18273</v>
      </c>
      <c r="M48" s="78">
        <v>21219</v>
      </c>
      <c r="N48" s="78">
        <v>24165</v>
      </c>
      <c r="O48" s="68" t="s">
        <v>73</v>
      </c>
      <c r="P48" s="52">
        <v>6915</v>
      </c>
      <c r="Q48" s="52">
        <v>9069</v>
      </c>
      <c r="R48" s="52">
        <v>11223</v>
      </c>
      <c r="S48" s="52">
        <v>13377</v>
      </c>
      <c r="T48" s="52">
        <v>15531</v>
      </c>
    </row>
    <row r="49" spans="1:20">
      <c r="H49" s="47" t="s">
        <v>122</v>
      </c>
      <c r="I49" s="78">
        <v>10720</v>
      </c>
      <c r="J49" s="78">
        <v>14087</v>
      </c>
      <c r="K49" s="78">
        <v>17454</v>
      </c>
      <c r="L49" s="78">
        <v>20821</v>
      </c>
      <c r="M49" s="78">
        <v>24188</v>
      </c>
      <c r="N49" s="78">
        <v>27555</v>
      </c>
      <c r="O49" s="68" t="s">
        <v>74</v>
      </c>
      <c r="P49" s="52">
        <v>8210</v>
      </c>
      <c r="Q49" s="52">
        <v>10795</v>
      </c>
      <c r="R49" s="52">
        <v>13380</v>
      </c>
      <c r="S49" s="52">
        <v>15965</v>
      </c>
      <c r="T49" s="52">
        <v>18550</v>
      </c>
    </row>
    <row r="50" spans="1:20">
      <c r="H50" s="47" t="s">
        <v>123</v>
      </c>
      <c r="I50" s="78">
        <v>12005</v>
      </c>
      <c r="J50" s="78">
        <v>15793</v>
      </c>
      <c r="K50" s="78">
        <v>19581</v>
      </c>
      <c r="L50" s="78">
        <v>23369</v>
      </c>
      <c r="M50" s="78">
        <v>27157</v>
      </c>
      <c r="N50" s="78">
        <v>30945</v>
      </c>
      <c r="O50" s="68" t="s">
        <v>121</v>
      </c>
      <c r="P50" s="52">
        <v>9505</v>
      </c>
      <c r="Q50" s="52">
        <v>12521</v>
      </c>
      <c r="R50" s="52">
        <v>15537</v>
      </c>
      <c r="S50" s="52">
        <v>18553</v>
      </c>
      <c r="T50" s="52">
        <v>21569</v>
      </c>
    </row>
    <row r="51" spans="1:20">
      <c r="H51" s="47" t="s">
        <v>124</v>
      </c>
      <c r="I51" s="78">
        <v>13290</v>
      </c>
      <c r="J51" s="78">
        <v>17499</v>
      </c>
      <c r="K51" s="78">
        <v>21708</v>
      </c>
      <c r="L51" s="78">
        <v>25917</v>
      </c>
      <c r="M51" s="78">
        <v>30126</v>
      </c>
      <c r="N51" s="78">
        <v>34335</v>
      </c>
      <c r="O51" s="68" t="s">
        <v>122</v>
      </c>
      <c r="P51" s="52">
        <v>10800</v>
      </c>
      <c r="Q51" s="52">
        <v>14247</v>
      </c>
      <c r="R51" s="52">
        <v>17694</v>
      </c>
      <c r="S51" s="52">
        <v>21141</v>
      </c>
      <c r="T51" s="52">
        <v>24588</v>
      </c>
    </row>
    <row r="52" spans="1:20">
      <c r="H52" s="47" t="s">
        <v>22</v>
      </c>
      <c r="I52" s="78">
        <v>14575</v>
      </c>
      <c r="J52" s="78">
        <v>19205</v>
      </c>
      <c r="K52" s="78">
        <v>23835</v>
      </c>
      <c r="L52" s="78">
        <v>28465</v>
      </c>
      <c r="M52" s="78">
        <v>33095</v>
      </c>
      <c r="N52" s="78">
        <v>37725</v>
      </c>
    </row>
    <row r="53" spans="1:20">
      <c r="H53" s="47" t="s">
        <v>23</v>
      </c>
      <c r="I53" s="78">
        <v>15860</v>
      </c>
      <c r="J53" s="78">
        <v>20911</v>
      </c>
      <c r="K53" s="78">
        <v>25962</v>
      </c>
      <c r="L53" s="78">
        <v>31013</v>
      </c>
      <c r="M53" s="78">
        <v>36064</v>
      </c>
      <c r="N53" s="78">
        <v>41115</v>
      </c>
    </row>
    <row r="54" spans="1:20">
      <c r="A54" s="107" t="s">
        <v>173</v>
      </c>
      <c r="B54" s="107"/>
      <c r="C54" s="107"/>
      <c r="D54" s="107"/>
      <c r="E54" s="107"/>
      <c r="H54" s="107" t="s">
        <v>174</v>
      </c>
      <c r="I54" s="107"/>
      <c r="J54" s="107"/>
      <c r="K54" s="107"/>
      <c r="L54" s="107"/>
    </row>
    <row r="56" spans="1:20">
      <c r="A56" s="89" t="s">
        <v>143</v>
      </c>
      <c r="B56" s="89" t="s">
        <v>28</v>
      </c>
      <c r="C56" s="89" t="s">
        <v>29</v>
      </c>
      <c r="D56" s="89" t="s">
        <v>30</v>
      </c>
      <c r="E56" s="89" t="s">
        <v>31</v>
      </c>
      <c r="F56" s="89" t="s">
        <v>32</v>
      </c>
      <c r="G56" s="89" t="s">
        <v>33</v>
      </c>
      <c r="H56" s="89" t="s">
        <v>143</v>
      </c>
      <c r="I56" s="89" t="s">
        <v>28</v>
      </c>
      <c r="J56" s="89" t="s">
        <v>29</v>
      </c>
      <c r="K56" s="89" t="s">
        <v>30</v>
      </c>
      <c r="L56" s="89" t="s">
        <v>31</v>
      </c>
      <c r="M56" s="89" t="s">
        <v>32</v>
      </c>
      <c r="N56" s="89" t="s">
        <v>33</v>
      </c>
    </row>
    <row r="57" spans="1:20">
      <c r="A57" s="89" t="s">
        <v>69</v>
      </c>
      <c r="B57" s="78">
        <f t="shared" ref="B57:B64" si="0">B4*B98</f>
        <v>2233.009708737864</v>
      </c>
      <c r="C57" s="78">
        <f t="shared" ref="C57:C64" si="1">C4*B98</f>
        <v>2600</v>
      </c>
      <c r="D57" s="78">
        <f t="shared" ref="D57:D64" si="2">D4*B98</f>
        <v>2966.990291262136</v>
      </c>
      <c r="E57" s="78">
        <f>E4*B98</f>
        <v>3333.980582524272</v>
      </c>
      <c r="F57" s="78">
        <f>F4*B98</f>
        <v>3700.970873786408</v>
      </c>
      <c r="G57" s="78">
        <f>G4*B98</f>
        <v>4067.9611650485435</v>
      </c>
      <c r="H57" s="89" t="s">
        <v>69</v>
      </c>
      <c r="I57" s="97" t="s">
        <v>210</v>
      </c>
      <c r="J57" s="78">
        <f t="shared" ref="J57:N57" si="3">J4*$B98</f>
        <v>99.029126213592235</v>
      </c>
      <c r="K57" s="78">
        <f t="shared" si="3"/>
        <v>257.28155339805824</v>
      </c>
      <c r="L57" s="78">
        <f t="shared" si="3"/>
        <v>415.53398058252429</v>
      </c>
      <c r="M57" s="78">
        <f t="shared" si="3"/>
        <v>573.78640776699035</v>
      </c>
      <c r="N57" s="78">
        <f t="shared" si="3"/>
        <v>732.03883495145635</v>
      </c>
    </row>
    <row r="58" spans="1:20">
      <c r="A58" s="89" t="s">
        <v>70</v>
      </c>
      <c r="B58" s="78">
        <f t="shared" si="0"/>
        <v>2021.868225091903</v>
      </c>
      <c r="C58" s="78">
        <f t="shared" si="1"/>
        <v>2733.5281364878874</v>
      </c>
      <c r="D58" s="78">
        <f t="shared" si="2"/>
        <v>3445.1880478838721</v>
      </c>
      <c r="E58" s="78">
        <f t="shared" ref="E58:E64" si="4">E5*B99</f>
        <v>4156.8479592798567</v>
      </c>
      <c r="F58" s="78">
        <f t="shared" ref="F58:F64" si="5">F5*B99</f>
        <v>4868.5078706758413</v>
      </c>
      <c r="G58" s="78">
        <f t="shared" ref="G58:G64" si="6">G5*B99</f>
        <v>5580.167782071826</v>
      </c>
      <c r="H58" s="89" t="s">
        <v>70</v>
      </c>
      <c r="I58" s="78">
        <f t="shared" ref="I58:N64" si="7">I5*$B99</f>
        <v>129.13563955132435</v>
      </c>
      <c r="J58" s="78">
        <f t="shared" si="7"/>
        <v>438.30709774719577</v>
      </c>
      <c r="K58" s="78">
        <f t="shared" si="7"/>
        <v>747.47855594306725</v>
      </c>
      <c r="L58" s="78">
        <f t="shared" si="7"/>
        <v>1056.6500141389386</v>
      </c>
      <c r="M58" s="78">
        <f t="shared" si="7"/>
        <v>1365.8214723348101</v>
      </c>
      <c r="N58" s="78">
        <f t="shared" si="7"/>
        <v>1674.9929305306814</v>
      </c>
    </row>
    <row r="59" spans="1:20">
      <c r="A59" s="89" t="s">
        <v>71</v>
      </c>
      <c r="B59" s="78">
        <f t="shared" si="0"/>
        <v>1821.1319021127877</v>
      </c>
      <c r="C59" s="78">
        <f t="shared" si="1"/>
        <v>2857.0722605005644</v>
      </c>
      <c r="D59" s="78">
        <f t="shared" si="2"/>
        <v>3893.012618888341</v>
      </c>
      <c r="E59" s="78">
        <f t="shared" si="4"/>
        <v>4928.952977276118</v>
      </c>
      <c r="F59" s="78">
        <f t="shared" si="5"/>
        <v>5964.8933356638945</v>
      </c>
      <c r="G59" s="78">
        <f t="shared" si="6"/>
        <v>7000.833694051671</v>
      </c>
      <c r="H59" s="89" t="s">
        <v>71</v>
      </c>
      <c r="I59" s="78">
        <f t="shared" si="7"/>
        <v>306.57245588330846</v>
      </c>
      <c r="J59" s="78">
        <f t="shared" si="7"/>
        <v>757.73729394441614</v>
      </c>
      <c r="K59" s="78">
        <f t="shared" si="7"/>
        <v>1208.9021320055238</v>
      </c>
      <c r="L59" s="78">
        <f t="shared" si="7"/>
        <v>1660.0669700666315</v>
      </c>
      <c r="M59" s="78">
        <f t="shared" si="7"/>
        <v>2111.2318081277394</v>
      </c>
      <c r="N59" s="78">
        <f t="shared" si="7"/>
        <v>2562.3966461888467</v>
      </c>
    </row>
    <row r="60" spans="1:20">
      <c r="A60" s="89" t="s">
        <v>72</v>
      </c>
      <c r="B60" s="78">
        <f t="shared" si="0"/>
        <v>1630.3737329252892</v>
      </c>
      <c r="C60" s="78">
        <f t="shared" si="1"/>
        <v>2971.100688230064</v>
      </c>
      <c r="D60" s="78">
        <f t="shared" si="2"/>
        <v>4311.8276435348389</v>
      </c>
      <c r="E60" s="78">
        <f t="shared" si="4"/>
        <v>5652.5545988396134</v>
      </c>
      <c r="F60" s="78">
        <f t="shared" si="5"/>
        <v>6993.2815541443879</v>
      </c>
      <c r="G60" s="78">
        <f t="shared" si="6"/>
        <v>8334.0085094491624</v>
      </c>
      <c r="H60" s="89" t="s">
        <v>72</v>
      </c>
      <c r="I60" s="78">
        <f t="shared" si="7"/>
        <v>473.56359653906225</v>
      </c>
      <c r="J60" s="78">
        <f t="shared" si="7"/>
        <v>1058.1880740675856</v>
      </c>
      <c r="K60" s="78">
        <f t="shared" si="7"/>
        <v>1642.812551596109</v>
      </c>
      <c r="L60" s="78">
        <f t="shared" si="7"/>
        <v>2227.4370291246323</v>
      </c>
      <c r="M60" s="78">
        <f t="shared" si="7"/>
        <v>2812.0615066531559</v>
      </c>
      <c r="N60" s="78">
        <f t="shared" si="7"/>
        <v>3396.685984181679</v>
      </c>
    </row>
    <row r="61" spans="1:20">
      <c r="A61" s="89" t="s">
        <v>73</v>
      </c>
      <c r="B61" s="78">
        <f t="shared" si="0"/>
        <v>1449.1827577653958</v>
      </c>
      <c r="C61" s="78">
        <f t="shared" si="1"/>
        <v>3076.0629251139294</v>
      </c>
      <c r="D61" s="78">
        <f t="shared" si="2"/>
        <v>4702.943092462463</v>
      </c>
      <c r="E61" s="78">
        <f t="shared" si="4"/>
        <v>6329.8232598109962</v>
      </c>
      <c r="F61" s="78">
        <f t="shared" si="5"/>
        <v>7956.7034271595294</v>
      </c>
      <c r="G61" s="78">
        <f t="shared" si="6"/>
        <v>9583.5835945080635</v>
      </c>
      <c r="H61" s="89" t="s">
        <v>73</v>
      </c>
      <c r="I61" s="78">
        <f t="shared" si="7"/>
        <v>630.56702138482399</v>
      </c>
      <c r="J61" s="78">
        <f t="shared" si="7"/>
        <v>1340.4940509329911</v>
      </c>
      <c r="K61" s="78">
        <f t="shared" si="7"/>
        <v>2050.4210804811582</v>
      </c>
      <c r="L61" s="78">
        <f t="shared" si="7"/>
        <v>2760.3481100293252</v>
      </c>
      <c r="M61" s="78">
        <f t="shared" si="7"/>
        <v>3470.2751395774922</v>
      </c>
      <c r="N61" s="78">
        <f t="shared" si="7"/>
        <v>4180.2021691256596</v>
      </c>
    </row>
    <row r="62" spans="1:20">
      <c r="A62" s="89" t="s">
        <v>74</v>
      </c>
      <c r="B62" s="78">
        <f t="shared" si="0"/>
        <v>1277.1634914425731</v>
      </c>
      <c r="C62" s="78">
        <f t="shared" si="1"/>
        <v>3172.3903643176832</v>
      </c>
      <c r="D62" s="78">
        <f t="shared" si="2"/>
        <v>5067.6172371927933</v>
      </c>
      <c r="E62" s="78">
        <f t="shared" si="4"/>
        <v>6962.8441100679029</v>
      </c>
      <c r="F62" s="78">
        <f t="shared" si="5"/>
        <v>8858.0709829430125</v>
      </c>
      <c r="G62" s="78">
        <f t="shared" si="6"/>
        <v>10753.297855818124</v>
      </c>
      <c r="H62" s="89" t="s">
        <v>74</v>
      </c>
      <c r="I62" s="78">
        <f t="shared" si="7"/>
        <v>778.02287445911497</v>
      </c>
      <c r="J62" s="78">
        <f t="shared" si="7"/>
        <v>1605.4573200625655</v>
      </c>
      <c r="K62" s="78">
        <f t="shared" si="7"/>
        <v>2432.891765666016</v>
      </c>
      <c r="L62" s="78">
        <f t="shared" si="7"/>
        <v>3260.326211269467</v>
      </c>
      <c r="M62" s="78">
        <f t="shared" si="7"/>
        <v>4087.7606568729175</v>
      </c>
      <c r="N62" s="78">
        <f t="shared" si="7"/>
        <v>4915.1951024763675</v>
      </c>
    </row>
    <row r="63" spans="1:20">
      <c r="A63" s="89" t="s">
        <v>121</v>
      </c>
      <c r="B63" s="78">
        <f t="shared" si="0"/>
        <v>1113.9353705403946</v>
      </c>
      <c r="C63" s="78">
        <f t="shared" si="1"/>
        <v>3260.4969604868488</v>
      </c>
      <c r="D63" s="78">
        <f t="shared" si="2"/>
        <v>5407.058550433303</v>
      </c>
      <c r="E63" s="78">
        <f t="shared" si="4"/>
        <v>7553.6201403797568</v>
      </c>
      <c r="F63" s="78">
        <f t="shared" si="5"/>
        <v>9700.1817303262105</v>
      </c>
      <c r="G63" s="78">
        <f t="shared" si="6"/>
        <v>11846.743320272664</v>
      </c>
      <c r="H63" s="89" t="s">
        <v>121</v>
      </c>
      <c r="I63" s="78">
        <f t="shared" si="7"/>
        <v>916.35413328395975</v>
      </c>
      <c r="J63" s="78">
        <f t="shared" si="7"/>
        <v>1853.8486458628465</v>
      </c>
      <c r="K63" s="78">
        <f t="shared" si="7"/>
        <v>2791.3431584417335</v>
      </c>
      <c r="L63" s="78">
        <f t="shared" si="7"/>
        <v>3728.8376710206203</v>
      </c>
      <c r="M63" s="78">
        <f t="shared" si="7"/>
        <v>4666.3321835995075</v>
      </c>
      <c r="N63" s="78">
        <f t="shared" si="7"/>
        <v>5603.8266961783938</v>
      </c>
    </row>
    <row r="64" spans="1:20">
      <c r="A64" s="89" t="s">
        <v>122</v>
      </c>
      <c r="B64" s="78">
        <f t="shared" si="0"/>
        <v>959.13221969143194</v>
      </c>
      <c r="C64" s="78">
        <f t="shared" si="1"/>
        <v>3340.7798796165762</v>
      </c>
      <c r="D64" s="78">
        <f t="shared" si="2"/>
        <v>5722.4275395417199</v>
      </c>
      <c r="E64" s="78">
        <f t="shared" si="4"/>
        <v>8104.0751994668644</v>
      </c>
      <c r="F64" s="78">
        <f t="shared" si="5"/>
        <v>10485.722859392008</v>
      </c>
      <c r="G64" s="78">
        <f t="shared" si="6"/>
        <v>12867.370519317152</v>
      </c>
      <c r="H64" s="89" t="s">
        <v>122</v>
      </c>
      <c r="I64" s="78">
        <f t="shared" si="7"/>
        <v>1045.9672354659649</v>
      </c>
      <c r="J64" s="78">
        <f t="shared" si="7"/>
        <v>2086.4086062917322</v>
      </c>
      <c r="K64" s="78">
        <f t="shared" si="7"/>
        <v>3126.8499771174993</v>
      </c>
      <c r="L64" s="78">
        <f t="shared" si="7"/>
        <v>4167.2913479432664</v>
      </c>
      <c r="M64" s="78">
        <f t="shared" si="7"/>
        <v>5207.7327187690344</v>
      </c>
      <c r="N64" s="78">
        <f t="shared" si="7"/>
        <v>6248.1740895948014</v>
      </c>
    </row>
    <row r="65" spans="1:14">
      <c r="A65" s="89" t="s">
        <v>123</v>
      </c>
      <c r="B65" s="78">
        <f t="shared" ref="B65:B71" si="8">B12*E98</f>
        <v>812.40173628424452</v>
      </c>
      <c r="C65" s="78">
        <f t="shared" ref="C65:C72" si="9">C12*E98</f>
        <v>3413.6201258585143</v>
      </c>
      <c r="D65" s="78">
        <f t="shared" ref="D65:D72" si="10">D12*E98</f>
        <v>6014.8385154327843</v>
      </c>
      <c r="E65" s="78">
        <f>E12*E98</f>
        <v>8616.0569050070535</v>
      </c>
      <c r="F65" s="78">
        <f>F12*E98</f>
        <v>11217.275294581324</v>
      </c>
      <c r="G65" s="78">
        <f>G12*E98</f>
        <v>13818.493684155594</v>
      </c>
      <c r="H65" s="89" t="s">
        <v>123</v>
      </c>
      <c r="I65" s="78">
        <f>I12*$E98</f>
        <v>1167.2526833593438</v>
      </c>
      <c r="J65" s="78">
        <f t="shared" ref="J65:N65" si="11">J12*$E98</f>
        <v>2303.8486974249427</v>
      </c>
      <c r="K65" s="78">
        <f t="shared" si="11"/>
        <v>3440.4447114905415</v>
      </c>
      <c r="L65" s="78">
        <f t="shared" si="11"/>
        <v>4577.0407255561404</v>
      </c>
      <c r="M65" s="78">
        <f t="shared" si="11"/>
        <v>5713.6367396217393</v>
      </c>
      <c r="N65" s="78">
        <f t="shared" si="11"/>
        <v>6850.2327536873381</v>
      </c>
    </row>
    <row r="66" spans="1:14">
      <c r="A66" s="89" t="s">
        <v>124</v>
      </c>
      <c r="B66" s="78">
        <f t="shared" si="8"/>
        <v>673.40499298153622</v>
      </c>
      <c r="C66" s="78">
        <f t="shared" si="9"/>
        <v>3479.3831460570868</v>
      </c>
      <c r="D66" s="78">
        <f t="shared" si="10"/>
        <v>6285.3612991326372</v>
      </c>
      <c r="E66" s="78">
        <f t="shared" ref="E66:E72" si="12">E13*E99</f>
        <v>9091.3394522081871</v>
      </c>
      <c r="F66" s="78">
        <f t="shared" ref="F66:F72" si="13">F13*E99</f>
        <v>11897.317605283739</v>
      </c>
      <c r="G66" s="78">
        <f t="shared" ref="G66:G72" si="14">G13*E99</f>
        <v>14703.295758359289</v>
      </c>
      <c r="H66" s="89" t="s">
        <v>124</v>
      </c>
      <c r="I66" s="78">
        <f t="shared" ref="I66:N72" si="15">I13*$E99</f>
        <v>1280.5856275372639</v>
      </c>
      <c r="J66" s="78">
        <f t="shared" si="15"/>
        <v>2506.8523992870669</v>
      </c>
      <c r="K66" s="78">
        <f t="shared" si="15"/>
        <v>3733.1191710368703</v>
      </c>
      <c r="L66" s="78">
        <f t="shared" si="15"/>
        <v>4959.3859427866728</v>
      </c>
      <c r="M66" s="78">
        <f t="shared" si="15"/>
        <v>6185.6527145364762</v>
      </c>
      <c r="N66" s="78">
        <f t="shared" si="15"/>
        <v>7411.9194862862796</v>
      </c>
    </row>
    <row r="67" spans="1:14">
      <c r="A67" s="89" t="s">
        <v>22</v>
      </c>
      <c r="B67" s="78">
        <f t="shared" si="8"/>
        <v>541.81595744907179</v>
      </c>
      <c r="C67" s="78">
        <f t="shared" si="9"/>
        <v>3538.4194127807377</v>
      </c>
      <c r="D67" s="78">
        <f t="shared" si="10"/>
        <v>6535.0228681124036</v>
      </c>
      <c r="E67" s="78">
        <f t="shared" si="12"/>
        <v>9531.6263234440703</v>
      </c>
      <c r="F67" s="78">
        <f t="shared" si="13"/>
        <v>12528.229778775736</v>
      </c>
      <c r="G67" s="78">
        <f t="shared" si="14"/>
        <v>15524.833234107402</v>
      </c>
      <c r="H67" s="89" t="s">
        <v>22</v>
      </c>
      <c r="I67" s="78">
        <f t="shared" si="15"/>
        <v>1386.326429793025</v>
      </c>
      <c r="J67" s="78">
        <f t="shared" si="15"/>
        <v>2696.076204266581</v>
      </c>
      <c r="K67" s="78">
        <f t="shared" si="15"/>
        <v>4005.8259787401371</v>
      </c>
      <c r="L67" s="78">
        <f t="shared" si="15"/>
        <v>5315.5757532136931</v>
      </c>
      <c r="M67" s="78">
        <f t="shared" si="15"/>
        <v>6625.3255276872496</v>
      </c>
      <c r="N67" s="78">
        <f t="shared" si="15"/>
        <v>7935.0753021608052</v>
      </c>
    </row>
    <row r="68" spans="1:14">
      <c r="A68" s="89" t="s">
        <v>23</v>
      </c>
      <c r="B68" s="78">
        <f t="shared" si="8"/>
        <v>417.32102871481908</v>
      </c>
      <c r="C68" s="78">
        <f t="shared" si="9"/>
        <v>3591.0649865880232</v>
      </c>
      <c r="D68" s="78">
        <f t="shared" si="10"/>
        <v>6764.8089444612269</v>
      </c>
      <c r="E68" s="78">
        <f t="shared" si="12"/>
        <v>9938.5529023344316</v>
      </c>
      <c r="F68" s="78">
        <f t="shared" si="13"/>
        <v>13112.296860207634</v>
      </c>
      <c r="G68" s="78">
        <f t="shared" si="14"/>
        <v>16286.040818080839</v>
      </c>
      <c r="H68" s="89" t="s">
        <v>23</v>
      </c>
      <c r="I68" s="78">
        <f t="shared" si="15"/>
        <v>1484.8212063685244</v>
      </c>
      <c r="J68" s="78">
        <f t="shared" si="15"/>
        <v>2872.1506093902253</v>
      </c>
      <c r="K68" s="78">
        <f t="shared" si="15"/>
        <v>4259.4800124119265</v>
      </c>
      <c r="L68" s="78">
        <f t="shared" si="15"/>
        <v>5646.8094154336277</v>
      </c>
      <c r="M68" s="78">
        <f t="shared" si="15"/>
        <v>7034.1388184553289</v>
      </c>
      <c r="N68" s="78">
        <f t="shared" si="15"/>
        <v>8421.4682214770291</v>
      </c>
    </row>
    <row r="69" spans="1:14">
      <c r="A69" s="89" t="s">
        <v>24</v>
      </c>
      <c r="B69" s="78">
        <f t="shared" si="8"/>
        <v>299.61858959699828</v>
      </c>
      <c r="C69" s="78">
        <f t="shared" si="9"/>
        <v>3637.6420582435562</v>
      </c>
      <c r="D69" s="78">
        <f t="shared" si="10"/>
        <v>6975.665526890115</v>
      </c>
      <c r="E69" s="78">
        <f t="shared" si="12"/>
        <v>10313.688995536673</v>
      </c>
      <c r="F69" s="78">
        <f t="shared" si="13"/>
        <v>13651.712464183231</v>
      </c>
      <c r="G69" s="78">
        <f t="shared" si="14"/>
        <v>16989.73593282979</v>
      </c>
      <c r="H69" s="89" t="s">
        <v>24</v>
      </c>
      <c r="I69" s="78">
        <f t="shared" si="15"/>
        <v>1576.4023520842068</v>
      </c>
      <c r="J69" s="78">
        <f t="shared" si="15"/>
        <v>3035.6810736895873</v>
      </c>
      <c r="K69" s="78">
        <f t="shared" si="15"/>
        <v>4494.9597952949671</v>
      </c>
      <c r="L69" s="78">
        <f t="shared" si="15"/>
        <v>5954.2385169003473</v>
      </c>
      <c r="M69" s="78">
        <f t="shared" si="15"/>
        <v>7413.5172385057276</v>
      </c>
      <c r="N69" s="78">
        <f t="shared" si="15"/>
        <v>8872.7959601111088</v>
      </c>
    </row>
    <row r="70" spans="1:14">
      <c r="A70" s="89" t="s">
        <v>25</v>
      </c>
      <c r="B70" s="78">
        <f t="shared" si="8"/>
        <v>188.41857465830648</v>
      </c>
      <c r="C70" s="78">
        <f t="shared" si="9"/>
        <v>3678.4594715747976</v>
      </c>
      <c r="D70" s="78">
        <f t="shared" si="10"/>
        <v>7168.5003684912881</v>
      </c>
      <c r="E70" s="78">
        <f t="shared" si="12"/>
        <v>10658.541265407779</v>
      </c>
      <c r="F70" s="78">
        <f t="shared" si="13"/>
        <v>14148.58216232427</v>
      </c>
      <c r="G70" s="78">
        <f t="shared" si="14"/>
        <v>17638.623059240763</v>
      </c>
      <c r="H70" s="89" t="s">
        <v>25</v>
      </c>
      <c r="I70" s="78">
        <f t="shared" si="15"/>
        <v>1661.3890460221901</v>
      </c>
      <c r="J70" s="78">
        <f t="shared" si="15"/>
        <v>3187.2489418515634</v>
      </c>
      <c r="K70" s="78">
        <f t="shared" si="15"/>
        <v>4713.1088376809366</v>
      </c>
      <c r="L70" s="78">
        <f t="shared" si="15"/>
        <v>6238.9687335103099</v>
      </c>
      <c r="M70" s="78">
        <f t="shared" si="15"/>
        <v>7764.8286293396832</v>
      </c>
      <c r="N70" s="78">
        <f t="shared" si="15"/>
        <v>9290.6885251690564</v>
      </c>
    </row>
    <row r="71" spans="1:14">
      <c r="A71" s="89" t="s">
        <v>26</v>
      </c>
      <c r="B71" s="78">
        <f t="shared" si="8"/>
        <v>83.442053161573298</v>
      </c>
      <c r="C71" s="78">
        <f t="shared" si="9"/>
        <v>3713.8132276374081</v>
      </c>
      <c r="D71" s="78">
        <f t="shared" si="10"/>
        <v>7344.1844021132429</v>
      </c>
      <c r="E71" s="78">
        <f t="shared" si="12"/>
        <v>10974.555576589079</v>
      </c>
      <c r="F71" s="78">
        <f t="shared" si="13"/>
        <v>14604.926751064913</v>
      </c>
      <c r="G71" s="78">
        <f t="shared" si="14"/>
        <v>18235.297925540748</v>
      </c>
      <c r="H71" s="89" t="s">
        <v>26</v>
      </c>
      <c r="I71" s="78">
        <f t="shared" si="15"/>
        <v>1740.0877393925016</v>
      </c>
      <c r="J71" s="78">
        <f t="shared" si="15"/>
        <v>3327.4123353045843</v>
      </c>
      <c r="K71" s="78">
        <f t="shared" si="15"/>
        <v>4914.7369312166675</v>
      </c>
      <c r="L71" s="78">
        <f t="shared" si="15"/>
        <v>6502.0615271287497</v>
      </c>
      <c r="M71" s="78">
        <f t="shared" si="15"/>
        <v>8089.3861230408329</v>
      </c>
      <c r="N71" s="78">
        <f t="shared" si="15"/>
        <v>9676.7107189529161</v>
      </c>
    </row>
    <row r="72" spans="1:14">
      <c r="A72" s="89" t="s">
        <v>27</v>
      </c>
      <c r="B72" s="96" t="s">
        <v>158</v>
      </c>
      <c r="C72" s="78">
        <f t="shared" si="9"/>
        <v>3743.9869708344472</v>
      </c>
      <c r="D72" s="78">
        <f t="shared" si="10"/>
        <v>7503.5531151493969</v>
      </c>
      <c r="E72" s="78">
        <f t="shared" si="12"/>
        <v>11263.119259464347</v>
      </c>
      <c r="F72" s="78">
        <f t="shared" si="13"/>
        <v>15022.685403779296</v>
      </c>
      <c r="G72" s="78">
        <f t="shared" si="14"/>
        <v>18782.251548094246</v>
      </c>
      <c r="H72" s="89" t="s">
        <v>27</v>
      </c>
      <c r="I72" s="78">
        <f t="shared" si="15"/>
        <v>1812.7926261913126</v>
      </c>
      <c r="J72" s="78">
        <f t="shared" si="15"/>
        <v>3456.7070118539741</v>
      </c>
      <c r="K72" s="78">
        <f t="shared" si="15"/>
        <v>5100.6213975166356</v>
      </c>
      <c r="L72" s="78">
        <f t="shared" si="15"/>
        <v>6744.5357831792971</v>
      </c>
      <c r="M72" s="78">
        <f t="shared" si="15"/>
        <v>8388.4501688419587</v>
      </c>
      <c r="N72" s="78">
        <f>N19*$E105</f>
        <v>10032.36455450462</v>
      </c>
    </row>
    <row r="73" spans="1:14">
      <c r="E73" s="78"/>
    </row>
    <row r="75" spans="1:14">
      <c r="A75" s="107" t="s">
        <v>175</v>
      </c>
      <c r="B75" s="107"/>
      <c r="C75" s="107"/>
      <c r="D75" s="107"/>
      <c r="E75" s="107"/>
      <c r="H75" s="107" t="s">
        <v>176</v>
      </c>
      <c r="I75" s="107"/>
      <c r="J75" s="107"/>
      <c r="K75" s="107"/>
      <c r="L75" s="107"/>
      <c r="M75" s="107"/>
      <c r="N75" s="107"/>
    </row>
    <row r="76" spans="1:14">
      <c r="H76" s="89"/>
      <c r="I76" s="89"/>
      <c r="J76" s="89"/>
      <c r="K76" s="89"/>
      <c r="L76" s="89"/>
      <c r="M76" s="89"/>
      <c r="N76" s="89"/>
    </row>
    <row r="77" spans="1:14">
      <c r="A77" s="89" t="s">
        <v>143</v>
      </c>
      <c r="B77" s="89" t="s">
        <v>28</v>
      </c>
      <c r="C77" s="89" t="s">
        <v>29</v>
      </c>
      <c r="D77" s="89" t="s">
        <v>30</v>
      </c>
      <c r="E77" s="89" t="s">
        <v>31</v>
      </c>
      <c r="F77" s="89" t="s">
        <v>32</v>
      </c>
      <c r="G77" s="89" t="s">
        <v>33</v>
      </c>
      <c r="H77" s="89" t="s">
        <v>143</v>
      </c>
      <c r="I77" s="89" t="s">
        <v>28</v>
      </c>
      <c r="J77" s="89" t="s">
        <v>29</v>
      </c>
      <c r="K77" s="89" t="s">
        <v>30</v>
      </c>
      <c r="L77" s="89" t="s">
        <v>31</v>
      </c>
      <c r="M77" s="89" t="s">
        <v>32</v>
      </c>
      <c r="N77" s="89" t="s">
        <v>33</v>
      </c>
    </row>
    <row r="78" spans="1:14">
      <c r="A78" s="89" t="s">
        <v>69</v>
      </c>
      <c r="B78" s="94">
        <v>-8946</v>
      </c>
      <c r="C78" s="94">
        <v>-8533</v>
      </c>
      <c r="D78" s="94">
        <v>-8122</v>
      </c>
      <c r="E78" s="94">
        <v>-7710</v>
      </c>
      <c r="F78" s="94">
        <v>-7299</v>
      </c>
      <c r="G78" s="94">
        <v>-6887</v>
      </c>
      <c r="H78" s="89" t="s">
        <v>69</v>
      </c>
      <c r="I78" s="78">
        <f>I25*$B98</f>
        <v>399.02912621359224</v>
      </c>
      <c r="J78" s="78">
        <f t="shared" ref="J78:N78" si="16">J25*$B98</f>
        <v>709.70873786407765</v>
      </c>
      <c r="K78" s="78">
        <f t="shared" si="16"/>
        <v>1020.3883495145632</v>
      </c>
      <c r="L78" s="78">
        <f t="shared" si="16"/>
        <v>1331.0679611650485</v>
      </c>
      <c r="M78" s="78">
        <f t="shared" si="16"/>
        <v>1641.7475728155341</v>
      </c>
      <c r="N78" s="78">
        <f t="shared" si="16"/>
        <v>1952.4271844660195</v>
      </c>
    </row>
    <row r="79" spans="1:14">
      <c r="A79" s="89" t="s">
        <v>70</v>
      </c>
      <c r="B79" s="94">
        <v>-8251</v>
      </c>
      <c r="C79" s="94">
        <v>-7791</v>
      </c>
      <c r="D79" s="94">
        <v>-7331</v>
      </c>
      <c r="E79" s="94">
        <v>-6871</v>
      </c>
      <c r="F79" s="94">
        <v>-6411</v>
      </c>
      <c r="G79" s="94">
        <v>-5951</v>
      </c>
      <c r="H79" s="89" t="s">
        <v>70</v>
      </c>
      <c r="I79" s="78">
        <f t="shared" ref="I79:N85" si="17">I26*$B99</f>
        <v>1156.5651805071166</v>
      </c>
      <c r="J79" s="78">
        <f t="shared" si="17"/>
        <v>1760.7691582618531</v>
      </c>
      <c r="K79" s="78">
        <f t="shared" si="17"/>
        <v>2364.9731360165897</v>
      </c>
      <c r="L79" s="78">
        <f t="shared" si="17"/>
        <v>2969.1771137713263</v>
      </c>
      <c r="M79" s="78">
        <f t="shared" si="17"/>
        <v>3573.3810915260628</v>
      </c>
      <c r="N79" s="78">
        <f t="shared" si="17"/>
        <v>4177.585069280799</v>
      </c>
    </row>
    <row r="80" spans="1:14">
      <c r="A80" s="89" t="s">
        <v>71</v>
      </c>
      <c r="B80" s="94">
        <v>-7590</v>
      </c>
      <c r="C80" s="94">
        <v>-7085</v>
      </c>
      <c r="D80" s="94">
        <v>-6579</v>
      </c>
      <c r="E80" s="94">
        <v>-6074</v>
      </c>
      <c r="F80" s="94">
        <v>-5569</v>
      </c>
      <c r="G80" s="94">
        <v>-5064</v>
      </c>
      <c r="H80" s="89" t="s">
        <v>71</v>
      </c>
      <c r="I80" s="78">
        <f t="shared" si="17"/>
        <v>1869.6344100585052</v>
      </c>
      <c r="J80" s="78">
        <f t="shared" si="17"/>
        <v>2750.0006863562448</v>
      </c>
      <c r="K80" s="78">
        <f t="shared" si="17"/>
        <v>3630.366962653984</v>
      </c>
      <c r="L80" s="78">
        <f t="shared" si="17"/>
        <v>4510.7332389517242</v>
      </c>
      <c r="M80" s="78">
        <f t="shared" si="17"/>
        <v>5391.0995152494634</v>
      </c>
      <c r="N80" s="78">
        <f t="shared" si="17"/>
        <v>6271.4657915472026</v>
      </c>
    </row>
    <row r="81" spans="1:14">
      <c r="A81" s="89" t="s">
        <v>72</v>
      </c>
      <c r="B81" s="94">
        <v>-6960</v>
      </c>
      <c r="C81" s="94">
        <v>-6413</v>
      </c>
      <c r="D81" s="94">
        <v>-5865</v>
      </c>
      <c r="E81" s="94">
        <v>-5318</v>
      </c>
      <c r="F81" s="94">
        <v>-4471</v>
      </c>
      <c r="G81" s="94">
        <v>-4223</v>
      </c>
      <c r="H81" s="89" t="s">
        <v>72</v>
      </c>
      <c r="I81" s="78">
        <f t="shared" si="17"/>
        <v>2540.1844699909548</v>
      </c>
      <c r="J81" s="78">
        <f t="shared" si="17"/>
        <v>3680.1133524667839</v>
      </c>
      <c r="K81" s="78">
        <f t="shared" si="17"/>
        <v>4820.0422349426126</v>
      </c>
      <c r="L81" s="78">
        <f t="shared" si="17"/>
        <v>5959.9711174184422</v>
      </c>
      <c r="M81" s="78">
        <f t="shared" si="17"/>
        <v>7099.8999998942709</v>
      </c>
      <c r="N81" s="78">
        <f t="shared" si="17"/>
        <v>8239.8288823701005</v>
      </c>
    </row>
    <row r="82" spans="1:14">
      <c r="A82" s="89" t="s">
        <v>73</v>
      </c>
      <c r="B82" s="94">
        <v>-6360</v>
      </c>
      <c r="C82" s="94">
        <v>-5774</v>
      </c>
      <c r="D82" s="94">
        <v>-5187</v>
      </c>
      <c r="E82" s="94">
        <v>-4610</v>
      </c>
      <c r="F82" s="94">
        <v>-4014</v>
      </c>
      <c r="G82" s="94">
        <v>-3428</v>
      </c>
      <c r="H82" s="89" t="s">
        <v>73</v>
      </c>
      <c r="I82" s="78">
        <f t="shared" si="17"/>
        <v>3170.0872826118029</v>
      </c>
      <c r="J82" s="78">
        <f t="shared" si="17"/>
        <v>4553.7117727640025</v>
      </c>
      <c r="K82" s="78">
        <f t="shared" si="17"/>
        <v>5937.3362629162011</v>
      </c>
      <c r="L82" s="78">
        <f t="shared" si="17"/>
        <v>7320.9607530684007</v>
      </c>
      <c r="M82" s="78">
        <f t="shared" si="17"/>
        <v>8704.5852432205993</v>
      </c>
      <c r="N82" s="78">
        <f t="shared" si="17"/>
        <v>10088.2097333728</v>
      </c>
    </row>
    <row r="83" spans="1:14">
      <c r="A83" s="89" t="s">
        <v>74</v>
      </c>
      <c r="B83" s="94">
        <v>-5790</v>
      </c>
      <c r="C83" s="94">
        <v>-5167</v>
      </c>
      <c r="D83" s="94">
        <v>-4544</v>
      </c>
      <c r="E83" s="94">
        <v>-3921</v>
      </c>
      <c r="F83" s="94">
        <v>-3298</v>
      </c>
      <c r="G83" s="94">
        <v>-2674</v>
      </c>
      <c r="H83" s="89" t="s">
        <v>74</v>
      </c>
      <c r="I83" s="78">
        <f t="shared" si="17"/>
        <v>3761.1417967662919</v>
      </c>
      <c r="J83" s="78">
        <f t="shared" si="17"/>
        <v>5373.2989908823265</v>
      </c>
      <c r="K83" s="78">
        <f t="shared" si="17"/>
        <v>6985.456184998362</v>
      </c>
      <c r="L83" s="78">
        <f t="shared" si="17"/>
        <v>8597.6133791143966</v>
      </c>
      <c r="M83" s="78">
        <f t="shared" si="17"/>
        <v>10209.770573230431</v>
      </c>
      <c r="N83" s="78">
        <f t="shared" si="17"/>
        <v>11821.927767346466</v>
      </c>
    </row>
    <row r="84" spans="1:14">
      <c r="A84" s="89" t="s">
        <v>121</v>
      </c>
      <c r="B84" s="94">
        <v>-5247</v>
      </c>
      <c r="C84" s="94">
        <v>-4590</v>
      </c>
      <c r="D84" s="94">
        <v>-3933</v>
      </c>
      <c r="E84" s="94">
        <v>-3276</v>
      </c>
      <c r="F84" s="94">
        <v>-2619</v>
      </c>
      <c r="G84" s="94">
        <v>-1962</v>
      </c>
      <c r="H84" s="89" t="s">
        <v>121</v>
      </c>
      <c r="I84" s="78">
        <f t="shared" si="17"/>
        <v>4315.0766506991786</v>
      </c>
      <c r="J84" s="78">
        <f t="shared" si="17"/>
        <v>6141.2801851763506</v>
      </c>
      <c r="K84" s="78">
        <f t="shared" si="17"/>
        <v>7967.4837196535236</v>
      </c>
      <c r="L84" s="78">
        <f t="shared" si="17"/>
        <v>9793.6872541306966</v>
      </c>
      <c r="M84" s="78">
        <f t="shared" si="17"/>
        <v>11619.890788607869</v>
      </c>
      <c r="N84" s="78">
        <f t="shared" si="17"/>
        <v>13446.094323085041</v>
      </c>
    </row>
    <row r="85" spans="1:14">
      <c r="A85" s="89" t="s">
        <v>122</v>
      </c>
      <c r="B85" s="94">
        <v>-4731</v>
      </c>
      <c r="C85" s="94">
        <v>-4043</v>
      </c>
      <c r="D85" s="94">
        <v>-3354</v>
      </c>
      <c r="E85" s="94">
        <v>-2666</v>
      </c>
      <c r="F85" s="94">
        <v>-1978</v>
      </c>
      <c r="G85" s="94">
        <v>-1289</v>
      </c>
      <c r="H85" s="89" t="s">
        <v>122</v>
      </c>
      <c r="I85" s="78">
        <f t="shared" si="17"/>
        <v>4833.5527417042285</v>
      </c>
      <c r="J85" s="78">
        <f t="shared" si="17"/>
        <v>6859.9662461881016</v>
      </c>
      <c r="K85" s="78">
        <f t="shared" si="17"/>
        <v>8886.3797506719748</v>
      </c>
      <c r="L85" s="78">
        <f t="shared" si="17"/>
        <v>10912.793255155848</v>
      </c>
      <c r="M85" s="78">
        <f t="shared" si="17"/>
        <v>12939.206759639721</v>
      </c>
      <c r="N85" s="78">
        <f t="shared" si="17"/>
        <v>14965.620264123594</v>
      </c>
    </row>
    <row r="86" spans="1:14">
      <c r="A86" s="89" t="s">
        <v>123</v>
      </c>
      <c r="B86" s="94">
        <v>-4241</v>
      </c>
      <c r="C86" s="94">
        <v>-3523</v>
      </c>
      <c r="D86" s="94">
        <v>-2806</v>
      </c>
      <c r="E86" s="94">
        <v>-2089</v>
      </c>
      <c r="F86" s="94">
        <v>-1371</v>
      </c>
      <c r="G86" s="94">
        <v>-654</v>
      </c>
      <c r="H86" s="89" t="s">
        <v>123</v>
      </c>
      <c r="I86" s="78">
        <f>I33*$E98</f>
        <v>5318.1657057324273</v>
      </c>
      <c r="J86" s="78">
        <f t="shared" ref="J86:N86" si="18">J33*$E98</f>
        <v>7531.5772287408217</v>
      </c>
      <c r="K86" s="78">
        <f t="shared" si="18"/>
        <v>9744.988751749217</v>
      </c>
      <c r="L86" s="78">
        <f t="shared" si="18"/>
        <v>11958.400274757611</v>
      </c>
      <c r="M86" s="78">
        <f t="shared" si="18"/>
        <v>14171.811797766006</v>
      </c>
      <c r="N86" s="78">
        <f t="shared" si="18"/>
        <v>16385.223320774399</v>
      </c>
    </row>
    <row r="87" spans="1:14">
      <c r="A87" s="89" t="s">
        <v>124</v>
      </c>
      <c r="B87" s="94">
        <v>-3775</v>
      </c>
      <c r="C87" s="94">
        <v>-3031</v>
      </c>
      <c r="D87" s="94">
        <v>-2287</v>
      </c>
      <c r="E87" s="94">
        <v>-1543</v>
      </c>
      <c r="F87" s="94">
        <v>-799</v>
      </c>
      <c r="G87" s="94">
        <v>-55</v>
      </c>
      <c r="H87" s="89" t="s">
        <v>124</v>
      </c>
      <c r="I87" s="78">
        <f t="shared" ref="I87:N93" si="19">I34*$E99</f>
        <v>5770.4483100241032</v>
      </c>
      <c r="J87" s="78">
        <f t="shared" si="19"/>
        <v>8158.2456829276944</v>
      </c>
      <c r="K87" s="78">
        <f t="shared" si="19"/>
        <v>10546.043055831286</v>
      </c>
      <c r="L87" s="78">
        <f t="shared" si="19"/>
        <v>12933.840428734877</v>
      </c>
      <c r="M87" s="78">
        <f t="shared" si="19"/>
        <v>15321.637801638468</v>
      </c>
      <c r="N87" s="78">
        <f t="shared" si="19"/>
        <v>17709.435174542057</v>
      </c>
    </row>
    <row r="88" spans="1:14">
      <c r="A88" s="89" t="s">
        <v>22</v>
      </c>
      <c r="B88" s="94">
        <v>-3333</v>
      </c>
      <c r="C88" s="94">
        <v>-2564</v>
      </c>
      <c r="D88" s="94">
        <v>-1795</v>
      </c>
      <c r="E88" s="94">
        <v>-1027</v>
      </c>
      <c r="F88" s="94">
        <v>-258</v>
      </c>
      <c r="G88" s="92">
        <v>510</v>
      </c>
      <c r="H88" s="89" t="s">
        <v>22</v>
      </c>
      <c r="I88" s="78">
        <f t="shared" si="19"/>
        <v>6191.8727617279919</v>
      </c>
      <c r="J88" s="78">
        <f t="shared" si="19"/>
        <v>8742.0198681216225</v>
      </c>
      <c r="K88" s="78">
        <f t="shared" si="19"/>
        <v>11292.166974515254</v>
      </c>
      <c r="L88" s="78">
        <f t="shared" si="19"/>
        <v>13842.314080908885</v>
      </c>
      <c r="M88" s="78">
        <f t="shared" si="19"/>
        <v>16392.461187302517</v>
      </c>
      <c r="N88" s="78">
        <f t="shared" si="19"/>
        <v>18942.608293696147</v>
      </c>
    </row>
    <row r="89" spans="1:14">
      <c r="A89" s="89" t="s">
        <v>23</v>
      </c>
      <c r="B89" s="94">
        <v>-2913</v>
      </c>
      <c r="C89" s="94">
        <v>-2122</v>
      </c>
      <c r="D89" s="94">
        <v>-1331</v>
      </c>
      <c r="E89" s="94">
        <v>-540</v>
      </c>
      <c r="F89" s="92">
        <v>251</v>
      </c>
      <c r="G89" s="92">
        <v>1042</v>
      </c>
      <c r="H89" s="89" t="s">
        <v>23</v>
      </c>
      <c r="I89" s="78">
        <f t="shared" si="19"/>
        <v>6583.8529353714403</v>
      </c>
      <c r="J89" s="78">
        <f t="shared" si="19"/>
        <v>9284.8668539945793</v>
      </c>
      <c r="K89" s="78">
        <f t="shared" si="19"/>
        <v>11985.88077261772</v>
      </c>
      <c r="L89" s="78">
        <f t="shared" si="19"/>
        <v>14686.894691240859</v>
      </c>
      <c r="M89" s="78">
        <f t="shared" si="19"/>
        <v>17387.908609864</v>
      </c>
      <c r="N89" s="78">
        <f t="shared" si="19"/>
        <v>20088.922528487139</v>
      </c>
    </row>
    <row r="90" spans="1:14">
      <c r="A90" s="89" t="s">
        <v>24</v>
      </c>
      <c r="B90" s="94">
        <v>-2515</v>
      </c>
      <c r="C90" s="94">
        <v>-1703</v>
      </c>
      <c r="D90" s="94">
        <v>-892</v>
      </c>
      <c r="E90" s="94">
        <v>-80</v>
      </c>
      <c r="F90" s="92">
        <v>731</v>
      </c>
      <c r="G90" s="92">
        <v>1543</v>
      </c>
      <c r="H90" s="89" t="s">
        <v>24</v>
      </c>
      <c r="I90" s="78">
        <f t="shared" si="19"/>
        <v>6947.7465219503947</v>
      </c>
      <c r="J90" s="78">
        <f t="shared" si="19"/>
        <v>9788.6755124019328</v>
      </c>
      <c r="K90" s="78">
        <f t="shared" si="19"/>
        <v>12629.60450285347</v>
      </c>
      <c r="L90" s="78">
        <f t="shared" si="19"/>
        <v>15470.533493305009</v>
      </c>
      <c r="M90" s="78">
        <f t="shared" si="19"/>
        <v>18311.462483756546</v>
      </c>
      <c r="N90" s="78">
        <f t="shared" si="19"/>
        <v>21152.391474208085</v>
      </c>
    </row>
    <row r="91" spans="1:14">
      <c r="A91" s="89" t="s">
        <v>25</v>
      </c>
      <c r="B91" s="94">
        <v>-2138</v>
      </c>
      <c r="C91" s="94">
        <v>-1307</v>
      </c>
      <c r="D91" s="94">
        <v>-477</v>
      </c>
      <c r="E91" s="9">
        <v>353</v>
      </c>
      <c r="F91" s="92">
        <v>1183</v>
      </c>
      <c r="G91" s="92">
        <v>2013</v>
      </c>
      <c r="H91" s="89" t="s">
        <v>25</v>
      </c>
      <c r="I91" s="78">
        <f t="shared" si="19"/>
        <v>7284.8571023153654</v>
      </c>
      <c r="J91" s="78">
        <f t="shared" si="19"/>
        <v>10255.259403858421</v>
      </c>
      <c r="K91" s="78">
        <f t="shared" si="19"/>
        <v>13225.661705401477</v>
      </c>
      <c r="L91" s="78">
        <f t="shared" si="19"/>
        <v>16196.064006944534</v>
      </c>
      <c r="M91" s="78">
        <f t="shared" si="19"/>
        <v>19166.46630848759</v>
      </c>
      <c r="N91" s="78">
        <f t="shared" si="19"/>
        <v>22136.868610030648</v>
      </c>
    </row>
    <row r="92" spans="1:14">
      <c r="A92" s="89" t="s">
        <v>26</v>
      </c>
      <c r="B92" s="94">
        <v>-1780</v>
      </c>
      <c r="C92" s="94">
        <v>-933</v>
      </c>
      <c r="D92" s="94">
        <v>-86</v>
      </c>
      <c r="E92" s="9">
        <v>761</v>
      </c>
      <c r="F92" s="92">
        <v>1608</v>
      </c>
      <c r="G92" s="92">
        <v>2455</v>
      </c>
      <c r="H92" s="89" t="s">
        <v>26</v>
      </c>
      <c r="I92" s="78">
        <f t="shared" si="19"/>
        <v>7596.436147440153</v>
      </c>
      <c r="J92" s="78">
        <f t="shared" si="19"/>
        <v>10686.359562207952</v>
      </c>
      <c r="K92" s="78">
        <f t="shared" si="19"/>
        <v>13776.28297697575</v>
      </c>
      <c r="L92" s="78">
        <f t="shared" si="19"/>
        <v>16866.206391743548</v>
      </c>
      <c r="M92" s="78">
        <f t="shared" si="19"/>
        <v>19956.129806511348</v>
      </c>
      <c r="N92" s="78">
        <f t="shared" si="19"/>
        <v>23046.053221279148</v>
      </c>
    </row>
    <row r="93" spans="1:14">
      <c r="A93" s="89" t="s">
        <v>27</v>
      </c>
      <c r="B93" s="94">
        <v>-1442</v>
      </c>
      <c r="C93" s="94">
        <v>-579</v>
      </c>
      <c r="D93" s="92">
        <v>282</v>
      </c>
      <c r="E93" s="9">
        <v>1145</v>
      </c>
      <c r="F93" s="92">
        <v>2007</v>
      </c>
      <c r="G93" s="92">
        <v>2870</v>
      </c>
      <c r="H93" s="89" t="s">
        <v>27</v>
      </c>
      <c r="I93" s="78">
        <f t="shared" si="19"/>
        <v>7883.6849480736664</v>
      </c>
      <c r="J93" s="78">
        <f t="shared" si="19"/>
        <v>11083.647180968954</v>
      </c>
      <c r="K93" s="78">
        <f t="shared" si="19"/>
        <v>14283.60941386424</v>
      </c>
      <c r="L93" s="78">
        <f t="shared" si="19"/>
        <v>17483.571646759527</v>
      </c>
      <c r="M93" s="78">
        <f t="shared" si="19"/>
        <v>20683.533879654817</v>
      </c>
      <c r="N93" s="78">
        <f t="shared" si="19"/>
        <v>23883.496112550103</v>
      </c>
    </row>
    <row r="94" spans="1:14">
      <c r="A94" s="89"/>
      <c r="B94" s="77"/>
      <c r="C94" s="77"/>
      <c r="D94" s="78"/>
      <c r="E94" s="78"/>
      <c r="F94" s="78"/>
      <c r="G94" s="78"/>
      <c r="H94" s="89" t="s">
        <v>78</v>
      </c>
      <c r="I94" s="89" t="s">
        <v>28</v>
      </c>
      <c r="J94" s="89" t="s">
        <v>29</v>
      </c>
      <c r="K94" s="89" t="s">
        <v>30</v>
      </c>
      <c r="L94" s="89" t="s">
        <v>31</v>
      </c>
      <c r="M94" s="89" t="s">
        <v>32</v>
      </c>
      <c r="N94" s="89" t="s">
        <v>33</v>
      </c>
    </row>
    <row r="95" spans="1:14">
      <c r="A95" s="89"/>
      <c r="B95" s="77"/>
      <c r="C95" s="77"/>
      <c r="D95" s="78"/>
      <c r="E95" s="78"/>
      <c r="F95" s="78"/>
      <c r="G95" s="78"/>
      <c r="H95" s="89" t="s">
        <v>69</v>
      </c>
      <c r="I95" s="78">
        <f>I42*$B98</f>
        <v>1674.7572815533981</v>
      </c>
      <c r="J95" s="78">
        <f t="shared" ref="J95:N95" si="20">J42*$B98</f>
        <v>2082.5242718446602</v>
      </c>
      <c r="K95" s="78">
        <f t="shared" si="20"/>
        <v>2490.2912621359224</v>
      </c>
      <c r="L95" s="78">
        <f t="shared" si="20"/>
        <v>2898.0582524271845</v>
      </c>
      <c r="M95" s="78">
        <f t="shared" si="20"/>
        <v>3305.8252427184466</v>
      </c>
      <c r="N95" s="78">
        <f t="shared" si="20"/>
        <v>3713.5922330097087</v>
      </c>
    </row>
    <row r="96" spans="1:14">
      <c r="A96" s="106" t="s">
        <v>226</v>
      </c>
      <c r="B96" s="106"/>
      <c r="C96" s="106"/>
      <c r="D96" s="106"/>
      <c r="E96" s="106"/>
      <c r="F96" s="106"/>
      <c r="G96" s="106"/>
      <c r="H96" s="89" t="s">
        <v>70</v>
      </c>
      <c r="I96" s="78">
        <f t="shared" ref="I96:N102" si="21">I43*$B99</f>
        <v>2837.2136864926006</v>
      </c>
      <c r="J96" s="78">
        <f t="shared" si="21"/>
        <v>3629.936846074088</v>
      </c>
      <c r="K96" s="78">
        <f t="shared" si="21"/>
        <v>4422.6600056555753</v>
      </c>
      <c r="L96" s="78">
        <f t="shared" si="21"/>
        <v>5215.3831652370627</v>
      </c>
      <c r="M96" s="78">
        <f t="shared" si="21"/>
        <v>6008.1063248185501</v>
      </c>
      <c r="N96" s="78">
        <f t="shared" si="21"/>
        <v>6800.8294844000375</v>
      </c>
    </row>
    <row r="97" spans="1:14">
      <c r="A97" s="89" t="s">
        <v>224</v>
      </c>
      <c r="B97" s="89"/>
      <c r="C97" s="89"/>
      <c r="D97" s="89" t="s">
        <v>225</v>
      </c>
      <c r="H97" s="89" t="s">
        <v>71</v>
      </c>
      <c r="I97" s="78">
        <f t="shared" si="21"/>
        <v>3930.5334269218206</v>
      </c>
      <c r="J97" s="78">
        <f t="shared" si="21"/>
        <v>5085.4422010255075</v>
      </c>
      <c r="K97" s="78">
        <f t="shared" si="21"/>
        <v>6240.3509751291949</v>
      </c>
      <c r="L97" s="78">
        <f t="shared" si="21"/>
        <v>7395.2597492328832</v>
      </c>
      <c r="M97" s="78">
        <f t="shared" si="21"/>
        <v>8550.1685233365697</v>
      </c>
      <c r="N97" s="78">
        <f t="shared" si="21"/>
        <v>9705.0772974402571</v>
      </c>
    </row>
    <row r="98" spans="1:14">
      <c r="A98" s="89">
        <v>1</v>
      </c>
      <c r="B98">
        <f>1/(1+0.03)</f>
        <v>0.970873786407767</v>
      </c>
      <c r="D98" s="89">
        <v>9</v>
      </c>
      <c r="E98">
        <f>1/(1+0.03)^9</f>
        <v>0.76641673234362695</v>
      </c>
      <c r="H98" s="89" t="s">
        <v>72</v>
      </c>
      <c r="I98" s="78">
        <f t="shared" si="21"/>
        <v>4957.7577273695442</v>
      </c>
      <c r="J98" s="78">
        <f t="shared" si="21"/>
        <v>6453.0814290116496</v>
      </c>
      <c r="K98" s="78">
        <f t="shared" si="21"/>
        <v>7948.405130653754</v>
      </c>
      <c r="L98" s="78">
        <f t="shared" si="21"/>
        <v>9443.7288322958575</v>
      </c>
      <c r="M98" s="78">
        <f t="shared" si="21"/>
        <v>10939.052533937964</v>
      </c>
      <c r="N98" s="78">
        <f t="shared" si="21"/>
        <v>12434.376235580068</v>
      </c>
    </row>
    <row r="99" spans="1:14">
      <c r="A99" s="89">
        <v>2</v>
      </c>
      <c r="B99">
        <f>1/(1+0.03)^2</f>
        <v>0.94259590913375435</v>
      </c>
      <c r="D99" s="89">
        <v>10</v>
      </c>
      <c r="E99">
        <f>1/(1+0.03)^10</f>
        <v>0.74409391489672516</v>
      </c>
      <c r="H99" s="89" t="s">
        <v>73</v>
      </c>
      <c r="I99" s="78">
        <f t="shared" si="21"/>
        <v>5921.809304797287</v>
      </c>
      <c r="J99" s="78">
        <f t="shared" si="21"/>
        <v>7736.7381871415682</v>
      </c>
      <c r="K99" s="78">
        <f t="shared" si="21"/>
        <v>9551.6670694858494</v>
      </c>
      <c r="L99" s="78">
        <f t="shared" si="21"/>
        <v>11366.59595183013</v>
      </c>
      <c r="M99" s="78">
        <f t="shared" si="21"/>
        <v>13181.524834174412</v>
      </c>
      <c r="N99" s="78">
        <f t="shared" si="21"/>
        <v>14996.453716518692</v>
      </c>
    </row>
    <row r="100" spans="1:14">
      <c r="A100" s="89">
        <v>3</v>
      </c>
      <c r="B100">
        <f>1/(1+0.03)^3</f>
        <v>0.91514165935315961</v>
      </c>
      <c r="D100" s="89">
        <v>11</v>
      </c>
      <c r="E100">
        <f>1/(1+0.03)^11</f>
        <v>0.72242127659876232</v>
      </c>
      <c r="H100" s="89" t="s">
        <v>74</v>
      </c>
      <c r="I100" s="78">
        <f t="shared" si="21"/>
        <v>6825.4966919717835</v>
      </c>
      <c r="J100" s="78">
        <f t="shared" si="21"/>
        <v>8940.1444400980108</v>
      </c>
      <c r="K100" s="78">
        <f t="shared" si="21"/>
        <v>11054.792188224239</v>
      </c>
      <c r="L100" s="78">
        <f t="shared" si="21"/>
        <v>13169.439936350465</v>
      </c>
      <c r="M100" s="78">
        <f t="shared" si="21"/>
        <v>15284.087684476694</v>
      </c>
      <c r="N100" s="78">
        <f t="shared" si="21"/>
        <v>17398.73543260292</v>
      </c>
    </row>
    <row r="101" spans="1:14">
      <c r="A101" s="89">
        <v>4</v>
      </c>
      <c r="B101">
        <f>1/(1+0.03)^4</f>
        <v>0.888487047915689</v>
      </c>
      <c r="D101" s="89">
        <v>12</v>
      </c>
      <c r="E101">
        <f>1/(1+0.03)^12</f>
        <v>0.70137988019297326</v>
      </c>
      <c r="H101" s="89" t="s">
        <v>121</v>
      </c>
      <c r="I101" s="78">
        <f t="shared" si="21"/>
        <v>7671.5184095245431</v>
      </c>
      <c r="J101" s="78">
        <f t="shared" si="21"/>
        <v>10066.886001942063</v>
      </c>
      <c r="K101" s="78">
        <f t="shared" si="21"/>
        <v>12462.253594359583</v>
      </c>
      <c r="L101" s="78">
        <f t="shared" si="21"/>
        <v>14857.621186777104</v>
      </c>
      <c r="M101" s="78">
        <f t="shared" si="21"/>
        <v>17252.988779194624</v>
      </c>
      <c r="N101" s="78">
        <f t="shared" si="21"/>
        <v>19648.356371612143</v>
      </c>
    </row>
    <row r="102" spans="1:14">
      <c r="A102" s="89">
        <v>5</v>
      </c>
      <c r="B102">
        <f>1/(1+0.03)^5</f>
        <v>0.86260878438416411</v>
      </c>
      <c r="D102" s="91">
        <v>13</v>
      </c>
      <c r="E102">
        <f>1/(1+0.03)^13</f>
        <v>0.68095133999317792</v>
      </c>
      <c r="H102" s="89" t="s">
        <v>122</v>
      </c>
      <c r="I102" s="78">
        <f t="shared" si="21"/>
        <v>8462.466991845391</v>
      </c>
      <c r="J102" s="78">
        <f t="shared" si="21"/>
        <v>11120.407883780412</v>
      </c>
      <c r="K102" s="78">
        <f t="shared" si="21"/>
        <v>13778.348775715434</v>
      </c>
      <c r="L102" s="78">
        <f t="shared" si="21"/>
        <v>16436.289667650457</v>
      </c>
      <c r="M102" s="78">
        <f t="shared" si="21"/>
        <v>19094.230559585478</v>
      </c>
      <c r="N102" s="78">
        <f t="shared" si="21"/>
        <v>21752.171451520499</v>
      </c>
    </row>
    <row r="103" spans="1:14">
      <c r="A103" s="89">
        <v>6</v>
      </c>
      <c r="B103">
        <f>1/(1+0.03)^6</f>
        <v>0.83748425668365445</v>
      </c>
      <c r="D103" s="91">
        <v>14</v>
      </c>
      <c r="E103">
        <f>1/(1+0.03)^14</f>
        <v>0.66111780581861923</v>
      </c>
      <c r="H103" s="89" t="s">
        <v>123</v>
      </c>
      <c r="I103" s="78">
        <f>I50*$E98</f>
        <v>9200.8328717852419</v>
      </c>
      <c r="J103" s="78">
        <f t="shared" ref="J103:N103" si="22">J50*$E98</f>
        <v>12104.0194539029</v>
      </c>
      <c r="K103" s="78">
        <f t="shared" si="22"/>
        <v>15007.20603602056</v>
      </c>
      <c r="L103" s="78">
        <f t="shared" si="22"/>
        <v>17910.392618138219</v>
      </c>
      <c r="M103" s="78">
        <f t="shared" si="22"/>
        <v>20813.579200255877</v>
      </c>
      <c r="N103" s="78">
        <f t="shared" si="22"/>
        <v>23716.765782373535</v>
      </c>
    </row>
    <row r="104" spans="1:14">
      <c r="A104" s="89">
        <v>7</v>
      </c>
      <c r="B104">
        <f>1/(1+0.03)^7</f>
        <v>0.81309151134335378</v>
      </c>
      <c r="D104" s="91">
        <v>15</v>
      </c>
      <c r="E104">
        <f>1/(1+0.03)^15</f>
        <v>0.64186194739671765</v>
      </c>
      <c r="H104" s="89" t="s">
        <v>124</v>
      </c>
      <c r="I104" s="78">
        <f t="shared" ref="I104:N106" si="23">I51*$E99</f>
        <v>9889.0081289774771</v>
      </c>
      <c r="J104" s="78">
        <f t="shared" si="23"/>
        <v>13020.899416777793</v>
      </c>
      <c r="K104" s="78">
        <f t="shared" si="23"/>
        <v>16152.79070457811</v>
      </c>
      <c r="L104" s="78">
        <f t="shared" si="23"/>
        <v>19284.681992378428</v>
      </c>
      <c r="M104" s="78">
        <f t="shared" si="23"/>
        <v>22416.573280178742</v>
      </c>
      <c r="N104" s="78">
        <f t="shared" si="23"/>
        <v>25548.464567979059</v>
      </c>
    </row>
    <row r="105" spans="1:14">
      <c r="A105" s="89">
        <v>8</v>
      </c>
      <c r="B105">
        <f>1/(1+0.03)^8</f>
        <v>0.78940923431393573</v>
      </c>
      <c r="D105" s="91">
        <v>16</v>
      </c>
      <c r="E105">
        <f>1/(1+0.03)^16</f>
        <v>0.62316693922011435</v>
      </c>
      <c r="H105" s="89" t="s">
        <v>22</v>
      </c>
      <c r="I105" s="78">
        <f t="shared" si="23"/>
        <v>10529.290106426961</v>
      </c>
      <c r="J105" s="78">
        <f t="shared" si="23"/>
        <v>13874.10061707923</v>
      </c>
      <c r="K105" s="78">
        <f t="shared" si="23"/>
        <v>17218.911127731499</v>
      </c>
      <c r="L105" s="78">
        <f t="shared" si="23"/>
        <v>20563.721638383769</v>
      </c>
      <c r="M105" s="78">
        <f t="shared" si="23"/>
        <v>23908.53214903604</v>
      </c>
      <c r="N105" s="78">
        <f t="shared" si="23"/>
        <v>27253.342659688307</v>
      </c>
    </row>
    <row r="106" spans="1:14">
      <c r="H106" s="89" t="s">
        <v>23</v>
      </c>
      <c r="I106" s="78">
        <f t="shared" si="23"/>
        <v>11123.884899860555</v>
      </c>
      <c r="J106" s="78">
        <f t="shared" si="23"/>
        <v>14666.554674715264</v>
      </c>
      <c r="K106" s="78">
        <f t="shared" si="23"/>
        <v>18209.224449569971</v>
      </c>
      <c r="L106" s="78">
        <f t="shared" si="23"/>
        <v>21751.894224424679</v>
      </c>
      <c r="M106" s="78">
        <f t="shared" si="23"/>
        <v>25294.563999279388</v>
      </c>
      <c r="N106" s="78">
        <f t="shared" si="23"/>
        <v>28837.233774134096</v>
      </c>
    </row>
  </sheetData>
  <mergeCells count="9">
    <mergeCell ref="A96:G96"/>
    <mergeCell ref="H54:L54"/>
    <mergeCell ref="A75:E75"/>
    <mergeCell ref="H75:N75"/>
    <mergeCell ref="H1:J1"/>
    <mergeCell ref="A22:C22"/>
    <mergeCell ref="A1:C1"/>
    <mergeCell ref="H22:L22"/>
    <mergeCell ref="A54:E54"/>
  </mergeCells>
  <phoneticPr fontId="5" type="noConversion"/>
  <pageMargins left="0.75" right="0.75" top="1" bottom="1" header="0.5" footer="0.5"/>
  <pageSetup paperSize="10" orientation="portrait" horizontalDpi="4294967292" verticalDpi="4294967292"/>
  <ignoredErrors>
    <ignoredError sqref="B72 I57" numberStoredAsText="1"/>
  </ignoredErrors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N53"/>
  <sheetViews>
    <sheetView view="pageLayout" zoomScale="75" workbookViewId="0">
      <selection activeCell="G35" sqref="G35"/>
    </sheetView>
  </sheetViews>
  <sheetFormatPr baseColWidth="10" defaultRowHeight="13"/>
  <cols>
    <col min="1" max="1" width="6" bestFit="1" customWidth="1"/>
    <col min="2" max="2" width="7.5703125" bestFit="1" customWidth="1"/>
    <col min="3" max="3" width="8.85546875" customWidth="1"/>
    <col min="4" max="4" width="7.85546875" bestFit="1" customWidth="1"/>
    <col min="5" max="5" width="8.42578125" bestFit="1" customWidth="1"/>
    <col min="6" max="6" width="11" customWidth="1"/>
    <col min="7" max="7" width="15.42578125" customWidth="1"/>
    <col min="8" max="8" width="6" customWidth="1"/>
    <col min="9" max="9" width="7.5703125" customWidth="1"/>
    <col min="10" max="10" width="8.85546875" customWidth="1"/>
    <col min="11" max="11" width="7.85546875" customWidth="1"/>
    <col min="12" max="12" width="8.42578125" customWidth="1"/>
    <col min="13" max="13" width="11" customWidth="1"/>
    <col min="14" max="14" width="15.42578125" customWidth="1"/>
  </cols>
  <sheetData>
    <row r="1" spans="1:14">
      <c r="A1" s="107" t="s">
        <v>177</v>
      </c>
      <c r="B1" s="107"/>
      <c r="C1" s="107"/>
      <c r="D1" s="107"/>
      <c r="H1" s="107" t="s">
        <v>198</v>
      </c>
      <c r="I1" s="107"/>
      <c r="J1" s="107"/>
    </row>
    <row r="2" spans="1:14">
      <c r="B2" t="s">
        <v>52</v>
      </c>
      <c r="D2" t="s">
        <v>51</v>
      </c>
      <c r="F2" t="s">
        <v>46</v>
      </c>
      <c r="G2" t="s">
        <v>239</v>
      </c>
      <c r="I2" t="s">
        <v>199</v>
      </c>
      <c r="K2" t="s">
        <v>200</v>
      </c>
      <c r="M2" t="s">
        <v>46</v>
      </c>
      <c r="N2" t="s">
        <v>239</v>
      </c>
    </row>
    <row r="3" spans="1:14">
      <c r="B3" t="s">
        <v>53</v>
      </c>
      <c r="C3" s="66" t="s">
        <v>45</v>
      </c>
      <c r="D3" t="s">
        <v>53</v>
      </c>
      <c r="E3" s="66" t="s">
        <v>45</v>
      </c>
      <c r="I3" t="s">
        <v>53</v>
      </c>
      <c r="J3" s="66" t="s">
        <v>45</v>
      </c>
      <c r="K3" t="s">
        <v>53</v>
      </c>
      <c r="L3" s="66" t="s">
        <v>45</v>
      </c>
    </row>
    <row r="4" spans="1:14">
      <c r="A4" s="47" t="s">
        <v>69</v>
      </c>
      <c r="B4" s="54">
        <v>0.1125</v>
      </c>
      <c r="C4" s="2">
        <f>C21-$C$22</f>
        <v>7507.375</v>
      </c>
      <c r="D4" s="55">
        <v>5.62E-2</v>
      </c>
      <c r="E4" s="53">
        <f>C24-$C$25</f>
        <v>10232.0625</v>
      </c>
      <c r="F4" s="53">
        <f>C4-E4</f>
        <v>-2724.6875</v>
      </c>
      <c r="G4" s="53"/>
      <c r="H4" s="47" t="s">
        <v>69</v>
      </c>
      <c r="I4" s="56">
        <v>0.1125</v>
      </c>
      <c r="J4" s="2">
        <f>J21-$J$22</f>
        <v>39040.237500000003</v>
      </c>
      <c r="K4" s="7">
        <v>6.25E-2</v>
      </c>
      <c r="L4" s="52">
        <f>J24-$J$25</f>
        <v>32327.212500000001</v>
      </c>
      <c r="M4" s="52">
        <f>J4-L4</f>
        <v>6713.0250000000015</v>
      </c>
      <c r="N4" s="52"/>
    </row>
    <row r="5" spans="1:14">
      <c r="A5" s="47" t="s">
        <v>70</v>
      </c>
      <c r="B5" s="54">
        <v>0.1125</v>
      </c>
      <c r="C5" s="2">
        <f>C4-$C$22</f>
        <v>6555.75</v>
      </c>
      <c r="D5" s="55">
        <v>5.62E-2</v>
      </c>
      <c r="E5" s="53">
        <f>E4-$C$25</f>
        <v>9549.9249999999993</v>
      </c>
      <c r="F5" s="53">
        <f t="shared" ref="F5:F19" si="0">C5-E5</f>
        <v>-2994.1749999999993</v>
      </c>
      <c r="G5" s="53"/>
      <c r="H5" s="47" t="s">
        <v>70</v>
      </c>
      <c r="I5" s="56">
        <v>0.1125</v>
      </c>
      <c r="J5" s="2">
        <f>J4-$J$22</f>
        <v>34091.475000000006</v>
      </c>
      <c r="K5" s="7">
        <v>6.25E-2</v>
      </c>
      <c r="L5" s="52">
        <f>L4-$J$25</f>
        <v>30400.425000000003</v>
      </c>
      <c r="M5" s="52">
        <f t="shared" ref="M5:M19" si="1">J5-L5</f>
        <v>3691.0500000000029</v>
      </c>
      <c r="N5" s="52"/>
    </row>
    <row r="6" spans="1:14">
      <c r="A6" s="47" t="s">
        <v>71</v>
      </c>
      <c r="B6" s="54">
        <v>0.1125</v>
      </c>
      <c r="C6" s="2">
        <f t="shared" ref="C6:C10" si="2">C5-$C$22</f>
        <v>5604.125</v>
      </c>
      <c r="D6" s="55">
        <v>5.62E-2</v>
      </c>
      <c r="E6" s="53">
        <f t="shared" ref="E6:E18" si="3">E5-$C$25</f>
        <v>8867.7874999999985</v>
      </c>
      <c r="F6" s="53">
        <f t="shared" si="0"/>
        <v>-3263.6624999999985</v>
      </c>
      <c r="H6" s="47" t="s">
        <v>71</v>
      </c>
      <c r="I6" s="56">
        <v>0.1125</v>
      </c>
      <c r="J6" s="2">
        <f t="shared" ref="J6:J10" si="4">J5-$J$22</f>
        <v>29142.712500000005</v>
      </c>
      <c r="K6" s="7">
        <v>6.25E-2</v>
      </c>
      <c r="L6" s="52">
        <f t="shared" ref="L6:L19" si="5">L5-$J$25</f>
        <v>28473.637500000004</v>
      </c>
      <c r="M6" s="52">
        <f t="shared" si="1"/>
        <v>669.07500000000073</v>
      </c>
      <c r="N6" s="53"/>
    </row>
    <row r="7" spans="1:14">
      <c r="A7" s="47" t="s">
        <v>72</v>
      </c>
      <c r="B7" s="54">
        <v>0.1125</v>
      </c>
      <c r="C7" s="2">
        <f t="shared" si="2"/>
        <v>4652.5</v>
      </c>
      <c r="D7" s="55">
        <v>5.62E-2</v>
      </c>
      <c r="E7" s="53">
        <f t="shared" si="3"/>
        <v>8185.6499999999987</v>
      </c>
      <c r="F7" s="53">
        <f t="shared" si="0"/>
        <v>-3533.1499999999987</v>
      </c>
      <c r="G7" s="105">
        <f>F7*0.888487048</f>
        <v>-3139.158013641199</v>
      </c>
      <c r="H7" s="47" t="s">
        <v>72</v>
      </c>
      <c r="I7" s="56">
        <v>0.1125</v>
      </c>
      <c r="J7" s="2">
        <f t="shared" si="4"/>
        <v>24193.950000000004</v>
      </c>
      <c r="K7" s="7">
        <v>6.25E-2</v>
      </c>
      <c r="L7" s="53">
        <f t="shared" si="5"/>
        <v>26546.850000000006</v>
      </c>
      <c r="M7" s="53">
        <f t="shared" si="1"/>
        <v>-2352.9000000000015</v>
      </c>
      <c r="N7" s="53">
        <f>M7*0.888487048</f>
        <v>-2090.5211752392015</v>
      </c>
    </row>
    <row r="8" spans="1:14">
      <c r="A8" s="47" t="s">
        <v>73</v>
      </c>
      <c r="B8" s="54">
        <v>0.1125</v>
      </c>
      <c r="C8" s="2">
        <f>C7-$C$22</f>
        <v>3700.875</v>
      </c>
      <c r="D8" s="55">
        <v>5.62E-2</v>
      </c>
      <c r="E8" s="53">
        <f t="shared" si="3"/>
        <v>7503.5124999999989</v>
      </c>
      <c r="F8" s="53">
        <f t="shared" si="0"/>
        <v>-3802.6374999999989</v>
      </c>
      <c r="G8" s="53"/>
      <c r="H8" s="47" t="s">
        <v>73</v>
      </c>
      <c r="I8" s="56">
        <v>0.1125</v>
      </c>
      <c r="J8" s="2">
        <f t="shared" si="4"/>
        <v>19245.187500000004</v>
      </c>
      <c r="K8" s="7">
        <v>6.25E-2</v>
      </c>
      <c r="L8" s="53">
        <f t="shared" si="5"/>
        <v>24620.062500000007</v>
      </c>
      <c r="M8" s="53">
        <f t="shared" si="1"/>
        <v>-5374.8750000000036</v>
      </c>
      <c r="N8" s="53"/>
    </row>
    <row r="9" spans="1:14">
      <c r="A9" s="47" t="s">
        <v>74</v>
      </c>
      <c r="B9" s="54">
        <v>0.1125</v>
      </c>
      <c r="C9" s="2">
        <f>C8-$C$22</f>
        <v>2749.25</v>
      </c>
      <c r="D9" s="55">
        <v>5.62E-2</v>
      </c>
      <c r="E9" s="53">
        <f t="shared" si="3"/>
        <v>6821.3749999999991</v>
      </c>
      <c r="F9" s="53">
        <f t="shared" si="0"/>
        <v>-4072.1249999999991</v>
      </c>
      <c r="G9" s="53"/>
      <c r="H9" s="47" t="s">
        <v>74</v>
      </c>
      <c r="I9" s="56">
        <v>0.1125</v>
      </c>
      <c r="J9" s="2">
        <f t="shared" si="4"/>
        <v>14296.425000000003</v>
      </c>
      <c r="K9" s="7">
        <v>6.25E-2</v>
      </c>
      <c r="L9" s="53">
        <f t="shared" si="5"/>
        <v>22693.275000000009</v>
      </c>
      <c r="M9" s="53">
        <f t="shared" si="1"/>
        <v>-8396.8500000000058</v>
      </c>
      <c r="N9" s="53"/>
    </row>
    <row r="10" spans="1:14">
      <c r="A10" s="47" t="s">
        <v>121</v>
      </c>
      <c r="B10" s="54">
        <v>0.1125</v>
      </c>
      <c r="C10" s="2">
        <f t="shared" si="2"/>
        <v>1797.625</v>
      </c>
      <c r="D10" s="55">
        <v>5.62E-2</v>
      </c>
      <c r="E10" s="53">
        <f t="shared" si="3"/>
        <v>6139.2374999999993</v>
      </c>
      <c r="F10" s="53">
        <f t="shared" si="0"/>
        <v>-4341.6124999999993</v>
      </c>
      <c r="G10" s="53"/>
      <c r="H10" s="47" t="s">
        <v>121</v>
      </c>
      <c r="I10" s="56">
        <v>0.1125</v>
      </c>
      <c r="J10" s="2">
        <f t="shared" si="4"/>
        <v>9347.6625000000022</v>
      </c>
      <c r="K10" s="7">
        <v>6.25E-2</v>
      </c>
      <c r="L10" s="53">
        <f t="shared" si="5"/>
        <v>20766.48750000001</v>
      </c>
      <c r="M10" s="53">
        <f t="shared" si="1"/>
        <v>-11418.825000000008</v>
      </c>
      <c r="N10" s="53"/>
    </row>
    <row r="11" spans="1:14">
      <c r="A11" s="47" t="s">
        <v>122</v>
      </c>
      <c r="B11" s="54">
        <v>0.1125</v>
      </c>
      <c r="C11" s="2">
        <f>C10-$C$22</f>
        <v>846</v>
      </c>
      <c r="D11" s="55">
        <v>5.62E-2</v>
      </c>
      <c r="E11" s="53">
        <f t="shared" si="3"/>
        <v>5457.0999999999995</v>
      </c>
      <c r="F11" s="53">
        <f>C11-E11</f>
        <v>-4611.0999999999995</v>
      </c>
      <c r="G11" s="53"/>
      <c r="H11" s="47" t="s">
        <v>122</v>
      </c>
      <c r="I11" s="56">
        <v>0.1125</v>
      </c>
      <c r="J11" s="2">
        <f>J10-$J$22</f>
        <v>4398.9000000000024</v>
      </c>
      <c r="K11" s="7">
        <v>6.25E-2</v>
      </c>
      <c r="L11" s="53">
        <f t="shared" si="5"/>
        <v>18839.700000000012</v>
      </c>
      <c r="M11" s="53">
        <f t="shared" si="1"/>
        <v>-14440.80000000001</v>
      </c>
      <c r="N11" s="53"/>
    </row>
    <row r="12" spans="1:14">
      <c r="A12" s="47" t="s">
        <v>123</v>
      </c>
      <c r="B12" s="54">
        <v>1.2500000000000001E-2</v>
      </c>
      <c r="C12" s="2">
        <f>C11-108</f>
        <v>738</v>
      </c>
      <c r="D12" s="55">
        <v>5.62E-2</v>
      </c>
      <c r="E12" s="53">
        <f t="shared" si="3"/>
        <v>4774.9624999999996</v>
      </c>
      <c r="F12" s="53">
        <f t="shared" si="0"/>
        <v>-4036.9624999999996</v>
      </c>
      <c r="G12" s="53"/>
      <c r="H12" s="47" t="s">
        <v>123</v>
      </c>
      <c r="I12" s="56">
        <v>1.2500000000000001E-2</v>
      </c>
      <c r="J12" s="2">
        <f>J11-549.5</f>
        <v>3849.4000000000024</v>
      </c>
      <c r="K12" s="7">
        <v>6.25E-2</v>
      </c>
      <c r="L12" s="53">
        <f t="shared" si="5"/>
        <v>16912.912500000013</v>
      </c>
      <c r="M12" s="53">
        <f t="shared" si="1"/>
        <v>-13063.512500000012</v>
      </c>
      <c r="N12" s="53"/>
    </row>
    <row r="13" spans="1:14">
      <c r="A13" s="47" t="s">
        <v>124</v>
      </c>
      <c r="B13" s="54">
        <v>1.2500000000000001E-2</v>
      </c>
      <c r="C13" s="2">
        <f t="shared" ref="C13:C18" si="6">C12-108</f>
        <v>630</v>
      </c>
      <c r="D13" s="55">
        <v>5.62E-2</v>
      </c>
      <c r="E13" s="53">
        <f t="shared" si="3"/>
        <v>4092.8249999999998</v>
      </c>
      <c r="F13" s="53">
        <f t="shared" si="0"/>
        <v>-3462.8249999999998</v>
      </c>
      <c r="G13" s="53"/>
      <c r="H13" s="47" t="s">
        <v>124</v>
      </c>
      <c r="I13" s="56">
        <v>1.2500000000000001E-2</v>
      </c>
      <c r="J13" s="2">
        <f t="shared" ref="J13:J18" si="7">J12-549.5</f>
        <v>3299.9000000000024</v>
      </c>
      <c r="K13" s="7">
        <v>6.25E-2</v>
      </c>
      <c r="L13" s="53">
        <f t="shared" si="5"/>
        <v>14986.125000000013</v>
      </c>
      <c r="M13" s="53">
        <f t="shared" si="1"/>
        <v>-11686.225000000009</v>
      </c>
      <c r="N13" s="53"/>
    </row>
    <row r="14" spans="1:14">
      <c r="A14" s="47" t="s">
        <v>22</v>
      </c>
      <c r="B14" s="56">
        <v>1.2500000000000001E-2</v>
      </c>
      <c r="C14" s="2">
        <f t="shared" si="6"/>
        <v>522</v>
      </c>
      <c r="D14" s="55">
        <v>5.62E-2</v>
      </c>
      <c r="E14" s="53">
        <f t="shared" si="3"/>
        <v>3410.6875</v>
      </c>
      <c r="F14" s="53">
        <f>C14-E14</f>
        <v>-2888.6875</v>
      </c>
      <c r="G14" s="53"/>
      <c r="H14" s="47" t="s">
        <v>22</v>
      </c>
      <c r="I14" s="56">
        <v>1.2500000000000001E-2</v>
      </c>
      <c r="J14" s="2">
        <f t="shared" si="7"/>
        <v>2750.4000000000024</v>
      </c>
      <c r="K14" s="7">
        <v>6.25E-2</v>
      </c>
      <c r="L14" s="53">
        <f t="shared" si="5"/>
        <v>13059.337500000012</v>
      </c>
      <c r="M14" s="53">
        <f t="shared" si="1"/>
        <v>-10308.937500000011</v>
      </c>
      <c r="N14" s="53"/>
    </row>
    <row r="15" spans="1:14">
      <c r="A15" s="47" t="s">
        <v>23</v>
      </c>
      <c r="B15" s="56">
        <v>1.2500000000000001E-2</v>
      </c>
      <c r="C15" s="2">
        <f t="shared" si="6"/>
        <v>414</v>
      </c>
      <c r="D15" s="55">
        <v>5.62E-2</v>
      </c>
      <c r="E15" s="53">
        <f t="shared" si="3"/>
        <v>2728.55</v>
      </c>
      <c r="F15" s="53">
        <f t="shared" si="0"/>
        <v>-2314.5500000000002</v>
      </c>
      <c r="G15" s="53"/>
      <c r="H15" s="47" t="s">
        <v>23</v>
      </c>
      <c r="I15" s="56">
        <v>1.2500000000000001E-2</v>
      </c>
      <c r="J15" s="2">
        <f t="shared" si="7"/>
        <v>2200.9000000000024</v>
      </c>
      <c r="K15" s="7">
        <v>6.25E-2</v>
      </c>
      <c r="L15" s="53">
        <f t="shared" si="5"/>
        <v>11132.550000000012</v>
      </c>
      <c r="M15" s="53">
        <f t="shared" si="1"/>
        <v>-8931.6500000000087</v>
      </c>
      <c r="N15" s="53"/>
    </row>
    <row r="16" spans="1:14">
      <c r="A16" s="47" t="s">
        <v>24</v>
      </c>
      <c r="B16" s="56">
        <v>1.2500000000000001E-2</v>
      </c>
      <c r="C16" s="2">
        <f t="shared" si="6"/>
        <v>306</v>
      </c>
      <c r="D16" s="55">
        <v>5.62E-2</v>
      </c>
      <c r="E16" s="53">
        <f t="shared" si="3"/>
        <v>2046.4125000000001</v>
      </c>
      <c r="F16" s="53">
        <f t="shared" si="0"/>
        <v>-1740.4125000000001</v>
      </c>
      <c r="G16" s="53"/>
      <c r="H16" s="47" t="s">
        <v>24</v>
      </c>
      <c r="I16" s="56">
        <v>1.2500000000000001E-2</v>
      </c>
      <c r="J16" s="2">
        <f t="shared" si="7"/>
        <v>1651.4000000000024</v>
      </c>
      <c r="K16" s="7">
        <v>6.25E-2</v>
      </c>
      <c r="L16" s="53">
        <f t="shared" si="5"/>
        <v>9205.7625000000116</v>
      </c>
      <c r="M16" s="53">
        <f t="shared" si="1"/>
        <v>-7554.3625000000093</v>
      </c>
      <c r="N16" s="53"/>
    </row>
    <row r="17" spans="1:14">
      <c r="A17" s="47" t="s">
        <v>25</v>
      </c>
      <c r="B17" s="56">
        <v>1.2500000000000001E-2</v>
      </c>
      <c r="C17" s="2">
        <f t="shared" si="6"/>
        <v>198</v>
      </c>
      <c r="D17" s="55">
        <v>5.62E-2</v>
      </c>
      <c r="E17" s="53">
        <f t="shared" si="3"/>
        <v>1364.2750000000001</v>
      </c>
      <c r="F17" s="53">
        <f t="shared" si="0"/>
        <v>-1166.2750000000001</v>
      </c>
      <c r="G17" s="53"/>
      <c r="H17" s="47" t="s">
        <v>25</v>
      </c>
      <c r="I17" s="56">
        <v>1.2500000000000001E-2</v>
      </c>
      <c r="J17" s="2">
        <f t="shared" si="7"/>
        <v>1101.9000000000024</v>
      </c>
      <c r="K17" s="7">
        <v>6.25E-2</v>
      </c>
      <c r="L17" s="53">
        <f t="shared" si="5"/>
        <v>7278.9750000000113</v>
      </c>
      <c r="M17" s="53">
        <f t="shared" si="1"/>
        <v>-6177.0750000000089</v>
      </c>
      <c r="N17" s="53"/>
    </row>
    <row r="18" spans="1:14">
      <c r="A18" s="47" t="s">
        <v>26</v>
      </c>
      <c r="B18" s="56">
        <v>1.2500000000000001E-2</v>
      </c>
      <c r="C18" s="2">
        <f t="shared" si="6"/>
        <v>90</v>
      </c>
      <c r="D18" s="55">
        <v>5.62E-2</v>
      </c>
      <c r="E18" s="53">
        <f t="shared" si="3"/>
        <v>682.13750000000005</v>
      </c>
      <c r="F18" s="53">
        <f t="shared" si="0"/>
        <v>-592.13750000000005</v>
      </c>
      <c r="G18" s="53"/>
      <c r="H18" s="47" t="s">
        <v>26</v>
      </c>
      <c r="I18" s="56">
        <v>1.2500000000000001E-2</v>
      </c>
      <c r="J18" s="2">
        <f t="shared" si="7"/>
        <v>552.40000000000236</v>
      </c>
      <c r="K18" s="7">
        <v>6.25E-2</v>
      </c>
      <c r="L18" s="53">
        <f t="shared" si="5"/>
        <v>5352.1875000000109</v>
      </c>
      <c r="M18" s="53">
        <f t="shared" si="1"/>
        <v>-4799.7875000000085</v>
      </c>
      <c r="N18" s="53"/>
    </row>
    <row r="19" spans="1:14">
      <c r="A19" s="47" t="s">
        <v>27</v>
      </c>
      <c r="B19" s="56">
        <v>1.2500000000000001E-2</v>
      </c>
      <c r="C19" s="2">
        <v>0</v>
      </c>
      <c r="D19" s="55">
        <v>5.62E-2</v>
      </c>
      <c r="E19" s="53">
        <f>E18-$C$25</f>
        <v>0</v>
      </c>
      <c r="F19" s="53">
        <f t="shared" si="0"/>
        <v>0</v>
      </c>
      <c r="G19" s="53"/>
      <c r="H19" s="47" t="s">
        <v>27</v>
      </c>
      <c r="I19" s="56">
        <v>1.2500000000000001E-2</v>
      </c>
      <c r="J19" s="2">
        <v>0</v>
      </c>
      <c r="K19" s="7">
        <v>6.25E-2</v>
      </c>
      <c r="L19" s="53">
        <f t="shared" si="5"/>
        <v>3425.400000000011</v>
      </c>
      <c r="M19" s="53">
        <f t="shared" si="1"/>
        <v>-3425.400000000011</v>
      </c>
      <c r="N19" s="53"/>
    </row>
    <row r="21" spans="1:14">
      <c r="A21" s="107" t="s">
        <v>54</v>
      </c>
      <c r="B21" s="107"/>
      <c r="C21" s="50">
        <f>Privé!C6</f>
        <v>8459</v>
      </c>
      <c r="E21" s="107" t="s">
        <v>271</v>
      </c>
      <c r="F21" s="107"/>
      <c r="G21" s="99">
        <v>846</v>
      </c>
      <c r="H21" s="107" t="s">
        <v>201</v>
      </c>
      <c r="I21" s="107"/>
      <c r="J21" s="50">
        <f>Privé!G6</f>
        <v>43989</v>
      </c>
      <c r="L21" s="107" t="s">
        <v>271</v>
      </c>
      <c r="M21" s="107"/>
      <c r="N21" s="99">
        <v>4398.9000000000005</v>
      </c>
    </row>
    <row r="22" spans="1:14">
      <c r="A22" s="107" t="s">
        <v>238</v>
      </c>
      <c r="B22" s="107"/>
      <c r="C22">
        <f>(C21-G21)/8</f>
        <v>951.625</v>
      </c>
      <c r="E22" t="s">
        <v>209</v>
      </c>
      <c r="G22" s="99">
        <f>G21*0.78941</f>
        <v>667.84085999999991</v>
      </c>
      <c r="H22" t="s">
        <v>238</v>
      </c>
      <c r="J22">
        <f>(J21-N21)/8</f>
        <v>4948.7624999999998</v>
      </c>
      <c r="L22" t="s">
        <v>209</v>
      </c>
      <c r="N22" s="99">
        <f>N21*0.78941</f>
        <v>3472.5356490000004</v>
      </c>
    </row>
    <row r="23" spans="1:14">
      <c r="E23" t="s">
        <v>270</v>
      </c>
      <c r="G23" s="99"/>
      <c r="L23" t="s">
        <v>270</v>
      </c>
      <c r="N23" s="99"/>
    </row>
    <row r="24" spans="1:14">
      <c r="A24" s="107" t="s">
        <v>192</v>
      </c>
      <c r="B24" s="107"/>
      <c r="C24" s="50">
        <f>Privé!D6</f>
        <v>10914.2</v>
      </c>
      <c r="E24" s="107" t="s">
        <v>271</v>
      </c>
      <c r="F24" s="107"/>
      <c r="G24" s="99">
        <v>1091.42</v>
      </c>
      <c r="H24" s="107" t="s">
        <v>202</v>
      </c>
      <c r="I24" s="107"/>
      <c r="J24" s="50">
        <f>Privé!H6</f>
        <v>34254</v>
      </c>
      <c r="L24" s="107" t="s">
        <v>271</v>
      </c>
      <c r="M24" s="107"/>
      <c r="N24" s="99">
        <v>3425.4</v>
      </c>
    </row>
    <row r="25" spans="1:14">
      <c r="A25" s="107" t="s">
        <v>238</v>
      </c>
      <c r="B25" s="107"/>
      <c r="C25">
        <f>(C24-G26)/16</f>
        <v>682.13750000000005</v>
      </c>
      <c r="E25" t="s">
        <v>208</v>
      </c>
      <c r="G25" s="99">
        <f>0.623*G24</f>
        <v>679.95465999999999</v>
      </c>
      <c r="H25" t="s">
        <v>238</v>
      </c>
      <c r="J25">
        <f>(J24-N24)/16</f>
        <v>1926.7874999999999</v>
      </c>
      <c r="L25" t="s">
        <v>208</v>
      </c>
      <c r="N25" s="99">
        <f>N24*0.623</f>
        <v>2134.0241999999998</v>
      </c>
    </row>
    <row r="26" spans="1:14">
      <c r="E26" t="s">
        <v>222</v>
      </c>
      <c r="G26" s="98"/>
      <c r="L26" t="s">
        <v>222</v>
      </c>
    </row>
    <row r="27" spans="1:14">
      <c r="G27" s="91"/>
    </row>
    <row r="28" spans="1:14">
      <c r="A28" s="107" t="s">
        <v>36</v>
      </c>
      <c r="B28" s="107"/>
      <c r="C28" s="107"/>
      <c r="H28" s="107" t="s">
        <v>207</v>
      </c>
      <c r="I28" s="107"/>
      <c r="J28" s="107"/>
      <c r="K28" s="107"/>
      <c r="M28" t="s">
        <v>46</v>
      </c>
      <c r="N28" t="s">
        <v>239</v>
      </c>
    </row>
    <row r="29" spans="1:14">
      <c r="B29" t="s">
        <v>203</v>
      </c>
      <c r="D29" t="s">
        <v>204</v>
      </c>
      <c r="F29" t="s">
        <v>46</v>
      </c>
      <c r="G29" t="s">
        <v>239</v>
      </c>
      <c r="I29" t="s">
        <v>162</v>
      </c>
      <c r="K29" t="s">
        <v>163</v>
      </c>
      <c r="L29" s="107" t="s">
        <v>164</v>
      </c>
      <c r="M29" s="107"/>
    </row>
    <row r="30" spans="1:14">
      <c r="B30" t="s">
        <v>53</v>
      </c>
      <c r="C30" s="66" t="s">
        <v>45</v>
      </c>
      <c r="D30" t="s">
        <v>53</v>
      </c>
      <c r="E30" s="66" t="s">
        <v>45</v>
      </c>
      <c r="I30" t="s">
        <v>53</v>
      </c>
      <c r="J30" s="66" t="s">
        <v>45</v>
      </c>
      <c r="K30" t="s">
        <v>53</v>
      </c>
      <c r="L30" s="66" t="s">
        <v>45</v>
      </c>
    </row>
    <row r="31" spans="1:14">
      <c r="A31" s="47" t="s">
        <v>69</v>
      </c>
      <c r="B31" s="55">
        <v>5.62E-2</v>
      </c>
      <c r="C31" s="2">
        <f>C48-$C$49</f>
        <v>25660.510837499998</v>
      </c>
      <c r="D31" s="56">
        <v>5.62E-2</v>
      </c>
      <c r="E31" s="52">
        <f>C51-$C$52</f>
        <v>25537.875</v>
      </c>
      <c r="F31" s="52">
        <f>C31-E31</f>
        <v>122.63583749999816</v>
      </c>
      <c r="H31" s="47" t="s">
        <v>69</v>
      </c>
      <c r="I31" s="56">
        <v>0.1125</v>
      </c>
      <c r="J31" s="2">
        <f>J48-$J$49</f>
        <v>80833.5</v>
      </c>
      <c r="K31" s="7">
        <v>6.25E-2</v>
      </c>
      <c r="L31" s="53">
        <f>J51-$J$52</f>
        <v>85165.69875000001</v>
      </c>
      <c r="M31" s="53">
        <f>J31-L31</f>
        <v>-4332.1987500000105</v>
      </c>
      <c r="N31" s="53"/>
    </row>
    <row r="32" spans="1:14">
      <c r="A32" s="47" t="s">
        <v>70</v>
      </c>
      <c r="B32" s="55">
        <v>5.62E-2</v>
      </c>
      <c r="C32" s="2">
        <f>C31-$C$49</f>
        <v>24063.021674999996</v>
      </c>
      <c r="D32" s="56">
        <v>5.62E-2</v>
      </c>
      <c r="E32" s="52">
        <f>E31-$C$52</f>
        <v>24015.75</v>
      </c>
      <c r="F32" s="52">
        <f t="shared" ref="F32:F46" si="8">C32-E32</f>
        <v>47.271674999996321</v>
      </c>
      <c r="H32" s="47" t="s">
        <v>70</v>
      </c>
      <c r="I32" s="56">
        <v>0.1125</v>
      </c>
      <c r="J32" s="2">
        <f>J31-$J$49</f>
        <v>70587</v>
      </c>
      <c r="K32" s="7">
        <v>6.25E-2</v>
      </c>
      <c r="L32" s="53">
        <f>L31-$J$52</f>
        <v>80089.597500000003</v>
      </c>
      <c r="M32" s="53">
        <f t="shared" ref="M32:M46" si="9">J32-L32</f>
        <v>-9502.5975000000035</v>
      </c>
      <c r="N32" s="53"/>
    </row>
    <row r="33" spans="1:14">
      <c r="A33" s="47" t="s">
        <v>71</v>
      </c>
      <c r="B33" s="55">
        <v>5.62E-2</v>
      </c>
      <c r="C33" s="2">
        <f t="shared" ref="C33:C45" si="10">C32-$C$49</f>
        <v>22465.532512499994</v>
      </c>
      <c r="D33" s="56">
        <v>5.62E-2</v>
      </c>
      <c r="E33" s="52">
        <f t="shared" ref="E33:E46" si="11">E32-$C$52</f>
        <v>22493.625</v>
      </c>
      <c r="F33" s="52">
        <f t="shared" si="8"/>
        <v>-28.092487500005518</v>
      </c>
      <c r="H33" s="47" t="s">
        <v>71</v>
      </c>
      <c r="I33" s="56">
        <v>0.1125</v>
      </c>
      <c r="J33" s="2">
        <f t="shared" ref="J33:J38" si="12">J32-$J$49</f>
        <v>60340.5</v>
      </c>
      <c r="K33" s="7">
        <v>6.25E-2</v>
      </c>
      <c r="L33" s="53">
        <f t="shared" ref="L33:L46" si="13">L32-$J$52</f>
        <v>75013.496249999997</v>
      </c>
      <c r="M33" s="53">
        <f t="shared" si="9"/>
        <v>-14672.996249999997</v>
      </c>
      <c r="N33" s="53"/>
    </row>
    <row r="34" spans="1:14">
      <c r="A34" s="47" t="s">
        <v>72</v>
      </c>
      <c r="B34" s="55">
        <v>5.62E-2</v>
      </c>
      <c r="C34" s="2">
        <f t="shared" si="10"/>
        <v>20868.043349999993</v>
      </c>
      <c r="D34" s="56">
        <v>5.62E-2</v>
      </c>
      <c r="E34" s="52">
        <f t="shared" si="11"/>
        <v>20971.5</v>
      </c>
      <c r="F34" s="52">
        <f t="shared" si="8"/>
        <v>-103.45665000000736</v>
      </c>
      <c r="H34" s="47" t="s">
        <v>72</v>
      </c>
      <c r="I34" s="56">
        <v>0.1125</v>
      </c>
      <c r="J34" s="2">
        <f t="shared" si="12"/>
        <v>50094</v>
      </c>
      <c r="K34" s="7">
        <v>6.25E-2</v>
      </c>
      <c r="L34" s="53">
        <f t="shared" si="13"/>
        <v>69937.39499999999</v>
      </c>
      <c r="M34" s="53">
        <f t="shared" si="9"/>
        <v>-19843.39499999999</v>
      </c>
      <c r="N34" s="53">
        <f>M34*0.888487048</f>
        <v>-17630.599445847951</v>
      </c>
    </row>
    <row r="35" spans="1:14">
      <c r="A35" s="47" t="s">
        <v>73</v>
      </c>
      <c r="B35" s="55">
        <v>5.62E-2</v>
      </c>
      <c r="C35" s="2">
        <f t="shared" si="10"/>
        <v>19270.554187499991</v>
      </c>
      <c r="D35" s="56">
        <v>5.62E-2</v>
      </c>
      <c r="E35" s="52">
        <f t="shared" si="11"/>
        <v>19449.375</v>
      </c>
      <c r="F35" s="52">
        <f t="shared" si="8"/>
        <v>-178.8208125000092</v>
      </c>
      <c r="H35" s="47" t="s">
        <v>73</v>
      </c>
      <c r="I35" s="56">
        <v>0.1125</v>
      </c>
      <c r="J35" s="2">
        <f t="shared" si="12"/>
        <v>39847.5</v>
      </c>
      <c r="K35" s="7">
        <v>6.25E-2</v>
      </c>
      <c r="L35" s="53">
        <f t="shared" si="13"/>
        <v>64861.29374999999</v>
      </c>
      <c r="M35" s="53">
        <f t="shared" si="9"/>
        <v>-25013.79374999999</v>
      </c>
      <c r="N35" s="53"/>
    </row>
    <row r="36" spans="1:14">
      <c r="A36" s="47" t="s">
        <v>74</v>
      </c>
      <c r="B36" s="55">
        <v>5.62E-2</v>
      </c>
      <c r="C36" s="2">
        <f t="shared" si="10"/>
        <v>17673.065024999989</v>
      </c>
      <c r="D36" s="56">
        <v>5.62E-2</v>
      </c>
      <c r="E36" s="52">
        <f t="shared" si="11"/>
        <v>17927.25</v>
      </c>
      <c r="F36" s="52">
        <f t="shared" si="8"/>
        <v>-254.18497500001104</v>
      </c>
      <c r="H36" s="47" t="s">
        <v>74</v>
      </c>
      <c r="I36" s="56">
        <v>0.1125</v>
      </c>
      <c r="J36" s="2">
        <f t="shared" si="12"/>
        <v>29601</v>
      </c>
      <c r="K36" s="7">
        <v>6.25E-2</v>
      </c>
      <c r="L36" s="53">
        <f t="shared" si="13"/>
        <v>59785.19249999999</v>
      </c>
      <c r="M36" s="53">
        <f t="shared" si="9"/>
        <v>-30184.19249999999</v>
      </c>
      <c r="N36" s="53"/>
    </row>
    <row r="37" spans="1:14">
      <c r="A37" s="47" t="s">
        <v>121</v>
      </c>
      <c r="B37" s="55">
        <v>5.62E-2</v>
      </c>
      <c r="C37" s="2">
        <f t="shared" si="10"/>
        <v>16075.575862499989</v>
      </c>
      <c r="D37" s="56">
        <v>5.62E-2</v>
      </c>
      <c r="E37" s="52">
        <f t="shared" si="11"/>
        <v>16405.125</v>
      </c>
      <c r="F37" s="52">
        <f t="shared" si="8"/>
        <v>-329.54913750001106</v>
      </c>
      <c r="H37" s="47" t="s">
        <v>121</v>
      </c>
      <c r="I37" s="56">
        <v>0.1125</v>
      </c>
      <c r="J37" s="2">
        <f t="shared" si="12"/>
        <v>19354.5</v>
      </c>
      <c r="K37" s="7">
        <v>6.25E-2</v>
      </c>
      <c r="L37" s="53">
        <f t="shared" si="13"/>
        <v>54709.09124999999</v>
      </c>
      <c r="M37" s="53">
        <f t="shared" si="9"/>
        <v>-35354.59124999999</v>
      </c>
      <c r="N37" s="53"/>
    </row>
    <row r="38" spans="1:14">
      <c r="A38" s="47" t="s">
        <v>122</v>
      </c>
      <c r="B38" s="55">
        <v>5.62E-2</v>
      </c>
      <c r="C38" s="2">
        <f t="shared" si="10"/>
        <v>14478.086699999989</v>
      </c>
      <c r="D38" s="56">
        <v>5.62E-2</v>
      </c>
      <c r="E38" s="52">
        <f t="shared" si="11"/>
        <v>14883</v>
      </c>
      <c r="F38" s="52">
        <f t="shared" si="8"/>
        <v>-404.91330000001108</v>
      </c>
      <c r="H38" s="47" t="s">
        <v>122</v>
      </c>
      <c r="I38" s="56">
        <v>0.1125</v>
      </c>
      <c r="J38" s="2">
        <f t="shared" si="12"/>
        <v>9108</v>
      </c>
      <c r="K38" s="7">
        <v>6.25E-2</v>
      </c>
      <c r="L38" s="53">
        <f t="shared" si="13"/>
        <v>49632.989999999991</v>
      </c>
      <c r="M38" s="53">
        <f t="shared" si="9"/>
        <v>-40524.989999999991</v>
      </c>
      <c r="N38" s="53"/>
    </row>
    <row r="39" spans="1:14">
      <c r="A39" s="47" t="s">
        <v>123</v>
      </c>
      <c r="B39" s="55">
        <v>5.62E-2</v>
      </c>
      <c r="C39" s="2">
        <f t="shared" si="10"/>
        <v>12880.597537499989</v>
      </c>
      <c r="D39" s="56">
        <v>5.62E-2</v>
      </c>
      <c r="E39" s="52">
        <f t="shared" si="11"/>
        <v>13360.875</v>
      </c>
      <c r="F39" s="52">
        <f t="shared" si="8"/>
        <v>-480.2774625000111</v>
      </c>
      <c r="H39" s="47" t="s">
        <v>123</v>
      </c>
      <c r="I39" s="56">
        <v>1.2500000000000001E-2</v>
      </c>
      <c r="J39" s="2">
        <f>J38-1138.5</f>
        <v>7969.5</v>
      </c>
      <c r="K39" s="7">
        <v>6.25E-2</v>
      </c>
      <c r="L39" s="53">
        <f t="shared" si="13"/>
        <v>44556.888749999991</v>
      </c>
      <c r="M39" s="53">
        <f t="shared" si="9"/>
        <v>-36587.388749999991</v>
      </c>
      <c r="N39" s="53"/>
    </row>
    <row r="40" spans="1:14">
      <c r="A40" s="47" t="s">
        <v>124</v>
      </c>
      <c r="B40" s="55">
        <v>5.62E-2</v>
      </c>
      <c r="C40" s="2">
        <f t="shared" si="10"/>
        <v>11283.108374999989</v>
      </c>
      <c r="D40" s="56">
        <v>5.62E-2</v>
      </c>
      <c r="E40" s="52">
        <f t="shared" si="11"/>
        <v>11838.75</v>
      </c>
      <c r="F40" s="52">
        <f t="shared" si="8"/>
        <v>-555.64162500001112</v>
      </c>
      <c r="H40" s="47" t="s">
        <v>124</v>
      </c>
      <c r="I40" s="56">
        <v>1.2500000000000001E-2</v>
      </c>
      <c r="J40" s="2">
        <f t="shared" ref="J40:J46" si="14">J39-1138.5</f>
        <v>6831</v>
      </c>
      <c r="K40" s="7">
        <v>6.25E-2</v>
      </c>
      <c r="L40" s="53">
        <f t="shared" si="13"/>
        <v>39480.787499999991</v>
      </c>
      <c r="M40" s="53">
        <f t="shared" si="9"/>
        <v>-32649.787499999991</v>
      </c>
      <c r="N40" s="53"/>
    </row>
    <row r="41" spans="1:14">
      <c r="A41" s="47" t="s">
        <v>22</v>
      </c>
      <c r="B41" s="55">
        <v>5.62E-2</v>
      </c>
      <c r="C41" s="2">
        <f t="shared" si="10"/>
        <v>9685.6192124999889</v>
      </c>
      <c r="D41" s="56">
        <v>5.62E-2</v>
      </c>
      <c r="E41" s="52">
        <f t="shared" si="11"/>
        <v>10316.625</v>
      </c>
      <c r="F41" s="52">
        <f t="shared" si="8"/>
        <v>-631.00578750001114</v>
      </c>
      <c r="H41" s="47" t="s">
        <v>22</v>
      </c>
      <c r="I41" s="56">
        <v>1.2500000000000001E-2</v>
      </c>
      <c r="J41" s="2">
        <f t="shared" si="14"/>
        <v>5692.5</v>
      </c>
      <c r="K41" s="7">
        <v>6.25E-2</v>
      </c>
      <c r="L41" s="53">
        <f t="shared" si="13"/>
        <v>34404.686249999992</v>
      </c>
      <c r="M41" s="53">
        <f t="shared" si="9"/>
        <v>-28712.186249999992</v>
      </c>
      <c r="N41" s="53"/>
    </row>
    <row r="42" spans="1:14">
      <c r="A42" s="47" t="s">
        <v>23</v>
      </c>
      <c r="B42" s="55">
        <v>5.62E-2</v>
      </c>
      <c r="C42" s="2">
        <f t="shared" si="10"/>
        <v>8088.1300499999888</v>
      </c>
      <c r="D42" s="56">
        <v>5.62E-2</v>
      </c>
      <c r="E42" s="52">
        <f t="shared" si="11"/>
        <v>8794.5</v>
      </c>
      <c r="F42" s="52">
        <f t="shared" si="8"/>
        <v>-706.36995000001116</v>
      </c>
      <c r="H42" s="47" t="s">
        <v>23</v>
      </c>
      <c r="I42" s="56">
        <v>1.2500000000000001E-2</v>
      </c>
      <c r="J42" s="2">
        <f t="shared" si="14"/>
        <v>4554</v>
      </c>
      <c r="K42" s="7">
        <v>6.25E-2</v>
      </c>
      <c r="L42" s="53">
        <f t="shared" si="13"/>
        <v>29328.584999999992</v>
      </c>
      <c r="M42" s="53">
        <f t="shared" si="9"/>
        <v>-24774.584999999992</v>
      </c>
      <c r="N42" s="53"/>
    </row>
    <row r="43" spans="1:14">
      <c r="A43" s="47" t="s">
        <v>24</v>
      </c>
      <c r="B43" s="55">
        <v>5.62E-2</v>
      </c>
      <c r="C43" s="2">
        <f t="shared" si="10"/>
        <v>6490.6408874999888</v>
      </c>
      <c r="D43" s="56">
        <v>5.62E-2</v>
      </c>
      <c r="E43" s="52">
        <f t="shared" si="11"/>
        <v>7272.375</v>
      </c>
      <c r="F43" s="52">
        <f t="shared" si="8"/>
        <v>-781.73411250001118</v>
      </c>
      <c r="H43" s="47" t="s">
        <v>24</v>
      </c>
      <c r="I43" s="56">
        <v>1.2500000000000001E-2</v>
      </c>
      <c r="J43" s="2">
        <f t="shared" si="14"/>
        <v>3415.5</v>
      </c>
      <c r="K43" s="7">
        <v>6.25E-2</v>
      </c>
      <c r="L43" s="53">
        <f t="shared" si="13"/>
        <v>24252.483749999992</v>
      </c>
      <c r="M43" s="53">
        <f t="shared" si="9"/>
        <v>-20836.983749999992</v>
      </c>
      <c r="N43" s="53"/>
    </row>
    <row r="44" spans="1:14">
      <c r="A44" s="47" t="s">
        <v>25</v>
      </c>
      <c r="B44" s="55">
        <v>5.62E-2</v>
      </c>
      <c r="C44" s="2">
        <f t="shared" si="10"/>
        <v>4893.1517249999888</v>
      </c>
      <c r="D44" s="56">
        <v>5.62E-2</v>
      </c>
      <c r="E44" s="52">
        <f t="shared" si="11"/>
        <v>5750.25</v>
      </c>
      <c r="F44" s="52">
        <f t="shared" si="8"/>
        <v>-857.0982750000112</v>
      </c>
      <c r="H44" s="47" t="s">
        <v>25</v>
      </c>
      <c r="I44" s="56">
        <v>1.2500000000000001E-2</v>
      </c>
      <c r="J44" s="2">
        <f t="shared" si="14"/>
        <v>2277</v>
      </c>
      <c r="K44" s="7">
        <v>6.25E-2</v>
      </c>
      <c r="L44" s="53">
        <f t="shared" si="13"/>
        <v>19176.382499999992</v>
      </c>
      <c r="M44" s="53">
        <f t="shared" si="9"/>
        <v>-16899.382499999992</v>
      </c>
      <c r="N44" s="53"/>
    </row>
    <row r="45" spans="1:14">
      <c r="A45" s="47" t="s">
        <v>26</v>
      </c>
      <c r="B45" s="55">
        <v>5.62E-2</v>
      </c>
      <c r="C45" s="2">
        <f t="shared" si="10"/>
        <v>3295.6625624999888</v>
      </c>
      <c r="D45" s="56">
        <v>5.62E-2</v>
      </c>
      <c r="E45" s="52">
        <f t="shared" si="11"/>
        <v>4228.125</v>
      </c>
      <c r="F45" s="52">
        <f t="shared" si="8"/>
        <v>-932.46243750001122</v>
      </c>
      <c r="H45" s="47" t="s">
        <v>26</v>
      </c>
      <c r="I45" s="56">
        <v>1.2500000000000001E-2</v>
      </c>
      <c r="J45" s="2">
        <f t="shared" si="14"/>
        <v>1138.5</v>
      </c>
      <c r="K45" s="7">
        <v>6.25E-2</v>
      </c>
      <c r="L45" s="53">
        <f t="shared" si="13"/>
        <v>14100.281249999993</v>
      </c>
      <c r="M45" s="53">
        <f t="shared" si="9"/>
        <v>-12961.781249999993</v>
      </c>
      <c r="N45" s="53"/>
    </row>
    <row r="46" spans="1:14">
      <c r="A46" s="47" t="s">
        <v>27</v>
      </c>
      <c r="B46" s="55">
        <v>5.62E-2</v>
      </c>
      <c r="C46" s="2">
        <f>C45-$C$49</f>
        <v>1698.1733999999888</v>
      </c>
      <c r="D46" s="56">
        <v>5.62E-2</v>
      </c>
      <c r="E46" s="2">
        <f t="shared" si="11"/>
        <v>2706</v>
      </c>
      <c r="F46" s="52">
        <f t="shared" si="8"/>
        <v>-1007.8266000000112</v>
      </c>
      <c r="H46" s="47" t="s">
        <v>27</v>
      </c>
      <c r="I46" s="56">
        <v>1.2500000000000001E-2</v>
      </c>
      <c r="J46" s="2">
        <f t="shared" si="14"/>
        <v>0</v>
      </c>
      <c r="K46" s="7">
        <v>6.25E-2</v>
      </c>
      <c r="L46" s="53">
        <f t="shared" si="13"/>
        <v>9024.179999999993</v>
      </c>
      <c r="M46" s="53">
        <f t="shared" si="9"/>
        <v>-9024.179999999993</v>
      </c>
      <c r="N46" s="53"/>
    </row>
    <row r="48" spans="1:14">
      <c r="A48" s="107" t="s">
        <v>205</v>
      </c>
      <c r="B48" s="107"/>
      <c r="C48" s="50">
        <f>Privé!C59</f>
        <v>27258</v>
      </c>
      <c r="E48" s="107" t="s">
        <v>271</v>
      </c>
      <c r="F48" s="107"/>
      <c r="G48" s="99">
        <v>2725.8</v>
      </c>
      <c r="H48" s="107" t="s">
        <v>165</v>
      </c>
      <c r="I48" s="107"/>
      <c r="J48" s="50">
        <f>Privé!G59</f>
        <v>91080</v>
      </c>
      <c r="L48" s="107" t="s">
        <v>271</v>
      </c>
      <c r="M48" s="107"/>
      <c r="N48" s="99">
        <v>9108</v>
      </c>
    </row>
    <row r="49" spans="1:14">
      <c r="A49" s="107" t="s">
        <v>238</v>
      </c>
      <c r="B49" s="107"/>
      <c r="C49">
        <f>(C48-G49)/16</f>
        <v>1597.4891625</v>
      </c>
      <c r="E49" t="s">
        <v>209</v>
      </c>
      <c r="G49" s="99">
        <f>G48*0.623</f>
        <v>1698.1734000000001</v>
      </c>
      <c r="H49" s="107" t="s">
        <v>238</v>
      </c>
      <c r="I49" s="107"/>
      <c r="J49">
        <f>(J48-N48)/8</f>
        <v>10246.5</v>
      </c>
      <c r="L49" t="s">
        <v>209</v>
      </c>
      <c r="N49" s="99">
        <f>N48*0.78941</f>
        <v>7189.9462799999992</v>
      </c>
    </row>
    <row r="50" spans="1:14">
      <c r="E50" t="s">
        <v>223</v>
      </c>
      <c r="G50" s="99"/>
      <c r="L50" t="s">
        <v>270</v>
      </c>
      <c r="N50" s="99"/>
    </row>
    <row r="51" spans="1:14">
      <c r="A51" s="107" t="s">
        <v>206</v>
      </c>
      <c r="B51" s="107"/>
      <c r="C51" s="50">
        <f>Privé!D59</f>
        <v>27060</v>
      </c>
      <c r="E51" s="107" t="s">
        <v>271</v>
      </c>
      <c r="F51" s="107"/>
      <c r="G51" s="99">
        <v>2706</v>
      </c>
      <c r="H51" s="107" t="s">
        <v>166</v>
      </c>
      <c r="I51" s="107"/>
      <c r="J51" s="50">
        <f>Privé!H59</f>
        <v>90241.8</v>
      </c>
      <c r="L51" s="107" t="s">
        <v>271</v>
      </c>
      <c r="M51" s="107"/>
      <c r="N51" s="99">
        <v>9024.18</v>
      </c>
    </row>
    <row r="52" spans="1:14">
      <c r="A52" s="107" t="s">
        <v>238</v>
      </c>
      <c r="B52" s="107"/>
      <c r="C52">
        <f>(C51-G51)/16</f>
        <v>1522.125</v>
      </c>
      <c r="E52" t="s">
        <v>208</v>
      </c>
      <c r="G52" s="99">
        <f>G51*0.623</f>
        <v>1685.838</v>
      </c>
      <c r="H52" s="107" t="s">
        <v>238</v>
      </c>
      <c r="I52" s="107"/>
      <c r="J52">
        <f>(J51-N51)/16</f>
        <v>5076.1012499999997</v>
      </c>
      <c r="L52" t="s">
        <v>208</v>
      </c>
      <c r="N52" s="99">
        <f>N51*0.623</f>
        <v>5622.0641400000004</v>
      </c>
    </row>
    <row r="53" spans="1:14">
      <c r="E53" t="s">
        <v>222</v>
      </c>
      <c r="L53" t="s">
        <v>222</v>
      </c>
    </row>
  </sheetData>
  <mergeCells count="27">
    <mergeCell ref="A1:D1"/>
    <mergeCell ref="H28:K28"/>
    <mergeCell ref="H52:I52"/>
    <mergeCell ref="H1:J1"/>
    <mergeCell ref="A21:B21"/>
    <mergeCell ref="A22:B22"/>
    <mergeCell ref="A24:B24"/>
    <mergeCell ref="A25:B25"/>
    <mergeCell ref="A28:C28"/>
    <mergeCell ref="A48:B48"/>
    <mergeCell ref="A49:B49"/>
    <mergeCell ref="A51:B51"/>
    <mergeCell ref="A52:B52"/>
    <mergeCell ref="E51:F51"/>
    <mergeCell ref="H21:I21"/>
    <mergeCell ref="H24:I24"/>
    <mergeCell ref="E21:F21"/>
    <mergeCell ref="L48:M48"/>
    <mergeCell ref="L51:M51"/>
    <mergeCell ref="L21:M21"/>
    <mergeCell ref="L24:M24"/>
    <mergeCell ref="L29:M29"/>
    <mergeCell ref="H51:I51"/>
    <mergeCell ref="E24:F24"/>
    <mergeCell ref="E48:F48"/>
    <mergeCell ref="H48:I48"/>
    <mergeCell ref="H49:I49"/>
  </mergeCells>
  <phoneticPr fontId="5" type="noConversion"/>
  <pageMargins left="0.75" right="0.75" top="1" bottom="1" header="0.5" footer="0.5"/>
  <pageSetup paperSize="10" orientation="portrait" horizontalDpi="4294967292" verticalDpi="4294967292"/>
  <ignoredErrors>
    <ignoredError sqref="C25" emptyCellReference="1"/>
  </ignoredErrors>
  <extLst>
    <ext xmlns:mx="http://schemas.microsoft.com/office/mac/excel/2008/main" uri="http://schemas.microsoft.com/office/mac/excel/2008/main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N103"/>
  <sheetViews>
    <sheetView view="pageLayout" topLeftCell="A54" zoomScale="75" workbookViewId="0">
      <selection activeCell="I66" sqref="I66"/>
    </sheetView>
  </sheetViews>
  <sheetFormatPr baseColWidth="10" defaultRowHeight="13"/>
  <cols>
    <col min="1" max="1" width="11" customWidth="1"/>
    <col min="2" max="2" width="7.7109375" bestFit="1" customWidth="1"/>
    <col min="3" max="3" width="9.7109375" bestFit="1" customWidth="1"/>
    <col min="4" max="4" width="9.85546875" bestFit="1" customWidth="1"/>
    <col min="5" max="5" width="10" bestFit="1" customWidth="1"/>
    <col min="6" max="6" width="8.85546875" customWidth="1"/>
    <col min="7" max="9" width="8.42578125" bestFit="1" customWidth="1"/>
    <col min="10" max="10" width="8.85546875" bestFit="1" customWidth="1"/>
    <col min="11" max="11" width="8.42578125" bestFit="1" customWidth="1"/>
  </cols>
  <sheetData>
    <row r="1" spans="1:6">
      <c r="A1" s="107" t="s">
        <v>178</v>
      </c>
      <c r="B1" s="107"/>
      <c r="C1" s="107"/>
      <c r="D1" s="107"/>
      <c r="E1" s="107"/>
    </row>
    <row r="2" spans="1:6">
      <c r="A2" s="73" t="s">
        <v>146</v>
      </c>
      <c r="B2" s="57" t="s">
        <v>50</v>
      </c>
      <c r="C2" s="57" t="s">
        <v>29</v>
      </c>
      <c r="D2" s="57" t="s">
        <v>135</v>
      </c>
      <c r="E2" s="57" t="s">
        <v>31</v>
      </c>
      <c r="F2" s="57" t="s">
        <v>32</v>
      </c>
    </row>
    <row r="3" spans="1:6">
      <c r="A3" s="73" t="s">
        <v>144</v>
      </c>
      <c r="B3" s="79">
        <v>4161</v>
      </c>
      <c r="C3" s="79">
        <v>4538</v>
      </c>
      <c r="D3" s="79">
        <v>4915</v>
      </c>
      <c r="E3" s="79">
        <v>5292</v>
      </c>
      <c r="F3" s="79">
        <v>5669</v>
      </c>
    </row>
    <row r="4" spans="1:6">
      <c r="A4" s="57" t="s">
        <v>70</v>
      </c>
      <c r="B4" s="79">
        <v>4005</v>
      </c>
      <c r="C4" s="79">
        <v>4761</v>
      </c>
      <c r="D4" s="79">
        <v>5517</v>
      </c>
      <c r="E4" s="79">
        <v>6273</v>
      </c>
      <c r="F4" s="79">
        <v>7029</v>
      </c>
    </row>
    <row r="5" spans="1:6">
      <c r="A5" s="57" t="s">
        <v>71</v>
      </c>
      <c r="B5" s="79">
        <v>3849</v>
      </c>
      <c r="C5" s="79">
        <v>4984</v>
      </c>
      <c r="D5" s="79">
        <v>6119</v>
      </c>
      <c r="E5" s="79">
        <v>7254</v>
      </c>
      <c r="F5" s="79">
        <v>8389</v>
      </c>
    </row>
    <row r="6" spans="1:6">
      <c r="A6" s="57" t="s">
        <v>72</v>
      </c>
      <c r="B6" s="79">
        <v>3693</v>
      </c>
      <c r="C6" s="79">
        <v>5207</v>
      </c>
      <c r="D6" s="79">
        <v>6721</v>
      </c>
      <c r="E6" s="79">
        <v>8235</v>
      </c>
      <c r="F6" s="79">
        <v>9749</v>
      </c>
    </row>
    <row r="7" spans="1:6">
      <c r="A7" s="57" t="s">
        <v>73</v>
      </c>
      <c r="B7" s="79">
        <v>3537</v>
      </c>
      <c r="C7" s="79">
        <v>5430</v>
      </c>
      <c r="D7" s="79">
        <v>7323</v>
      </c>
      <c r="E7" s="79">
        <v>9216</v>
      </c>
      <c r="F7" s="79">
        <v>11109</v>
      </c>
    </row>
    <row r="8" spans="1:6">
      <c r="A8" s="57" t="s">
        <v>74</v>
      </c>
      <c r="B8" s="79">
        <v>3381</v>
      </c>
      <c r="C8" s="79">
        <v>5653</v>
      </c>
      <c r="D8" s="79">
        <v>7925</v>
      </c>
      <c r="E8" s="79">
        <v>10197</v>
      </c>
      <c r="F8" s="79">
        <v>12469</v>
      </c>
    </row>
    <row r="9" spans="1:6">
      <c r="A9" s="57" t="s">
        <v>121</v>
      </c>
      <c r="B9" s="79">
        <v>3225</v>
      </c>
      <c r="C9" s="79">
        <v>5876</v>
      </c>
      <c r="D9" s="79">
        <v>8527</v>
      </c>
      <c r="E9" s="79">
        <v>11178</v>
      </c>
      <c r="F9" s="79">
        <v>13829</v>
      </c>
    </row>
    <row r="10" spans="1:6">
      <c r="A10" s="73" t="s">
        <v>145</v>
      </c>
      <c r="B10" s="79">
        <v>3069</v>
      </c>
      <c r="C10" s="79">
        <v>6099</v>
      </c>
      <c r="D10" s="79">
        <v>9129</v>
      </c>
      <c r="E10" s="79">
        <v>12159</v>
      </c>
      <c r="F10" s="79">
        <v>15189</v>
      </c>
    </row>
    <row r="12" spans="1:6">
      <c r="A12" s="107" t="s">
        <v>179</v>
      </c>
      <c r="B12" s="107"/>
      <c r="C12" s="107"/>
      <c r="D12" s="107"/>
      <c r="E12" s="107"/>
    </row>
    <row r="13" spans="1:6">
      <c r="A13" s="73" t="s">
        <v>147</v>
      </c>
      <c r="B13" s="80">
        <v>-1789</v>
      </c>
      <c r="C13" s="80">
        <v>-1545</v>
      </c>
      <c r="D13" s="80">
        <v>-1301</v>
      </c>
      <c r="E13" s="80">
        <v>-1057</v>
      </c>
      <c r="F13" s="80">
        <v>-813</v>
      </c>
    </row>
    <row r="14" spans="1:6">
      <c r="A14" s="57" t="s">
        <v>70</v>
      </c>
      <c r="B14" s="80">
        <v>-1330</v>
      </c>
      <c r="C14" s="80">
        <v>-842</v>
      </c>
      <c r="D14" s="80">
        <v>-354</v>
      </c>
      <c r="E14" s="79">
        <v>134</v>
      </c>
      <c r="F14" s="79">
        <v>622</v>
      </c>
    </row>
    <row r="15" spans="1:6">
      <c r="A15" s="57" t="s">
        <v>71</v>
      </c>
      <c r="B15" s="80">
        <v>-871</v>
      </c>
      <c r="C15" s="80">
        <v>-139</v>
      </c>
      <c r="D15" s="79">
        <v>593</v>
      </c>
      <c r="E15" s="79">
        <v>1325</v>
      </c>
      <c r="F15" s="79">
        <v>2057</v>
      </c>
    </row>
    <row r="16" spans="1:6">
      <c r="A16" s="57" t="s">
        <v>72</v>
      </c>
      <c r="B16" s="80">
        <v>-412</v>
      </c>
      <c r="C16" s="79">
        <v>564</v>
      </c>
      <c r="D16" s="79">
        <v>1540</v>
      </c>
      <c r="E16" s="79">
        <v>2516</v>
      </c>
      <c r="F16" s="79">
        <v>3492</v>
      </c>
    </row>
    <row r="17" spans="1:11">
      <c r="A17" s="57" t="s">
        <v>73</v>
      </c>
      <c r="B17" s="79">
        <v>47</v>
      </c>
      <c r="C17" s="79">
        <v>1267</v>
      </c>
      <c r="D17" s="79">
        <v>2487</v>
      </c>
      <c r="E17" s="79">
        <v>3707</v>
      </c>
      <c r="F17" s="79">
        <v>4927</v>
      </c>
    </row>
    <row r="18" spans="1:11">
      <c r="A18" s="57" t="s">
        <v>74</v>
      </c>
      <c r="B18" s="79">
        <v>506</v>
      </c>
      <c r="C18" s="79">
        <v>1970</v>
      </c>
      <c r="D18" s="79">
        <v>3434</v>
      </c>
      <c r="E18" s="79">
        <v>4898</v>
      </c>
      <c r="F18" s="79">
        <v>6362</v>
      </c>
    </row>
    <row r="19" spans="1:11">
      <c r="A19" s="57" t="s">
        <v>121</v>
      </c>
      <c r="B19" s="79">
        <v>965</v>
      </c>
      <c r="C19" s="79">
        <v>2673</v>
      </c>
      <c r="D19" s="79">
        <v>4381</v>
      </c>
      <c r="E19" s="79">
        <v>6089</v>
      </c>
      <c r="F19" s="79">
        <v>7797</v>
      </c>
    </row>
    <row r="20" spans="1:11">
      <c r="A20" s="57" t="s">
        <v>122</v>
      </c>
      <c r="B20" s="79">
        <v>1424</v>
      </c>
      <c r="C20" s="79">
        <v>3376</v>
      </c>
      <c r="D20" s="79">
        <v>5328</v>
      </c>
      <c r="E20" s="79">
        <v>7280</v>
      </c>
      <c r="F20" s="79">
        <v>9232</v>
      </c>
    </row>
    <row r="22" spans="1:11">
      <c r="A22" s="107" t="s">
        <v>36</v>
      </c>
      <c r="B22" s="107"/>
      <c r="C22" s="107"/>
    </row>
    <row r="23" spans="1:11">
      <c r="A23" s="57" t="s">
        <v>69</v>
      </c>
      <c r="B23" s="79">
        <v>5122</v>
      </c>
      <c r="C23" s="79">
        <v>5286</v>
      </c>
      <c r="D23" s="79">
        <v>5450</v>
      </c>
      <c r="E23" s="79">
        <v>5614</v>
      </c>
      <c r="F23" s="79">
        <v>5778</v>
      </c>
    </row>
    <row r="24" spans="1:11">
      <c r="A24" s="57" t="s">
        <v>70</v>
      </c>
      <c r="B24" s="79">
        <v>5321</v>
      </c>
      <c r="C24" s="79">
        <v>5649</v>
      </c>
      <c r="D24" s="79">
        <v>5977</v>
      </c>
      <c r="E24" s="79">
        <v>6305</v>
      </c>
      <c r="F24" s="79">
        <v>6633</v>
      </c>
    </row>
    <row r="25" spans="1:11">
      <c r="A25" s="57" t="s">
        <v>71</v>
      </c>
      <c r="B25" s="79">
        <v>5520</v>
      </c>
      <c r="C25" s="79">
        <v>6012</v>
      </c>
      <c r="D25" s="79">
        <v>6504</v>
      </c>
      <c r="E25" s="79">
        <v>6996</v>
      </c>
      <c r="F25" s="79">
        <v>7488</v>
      </c>
    </row>
    <row r="26" spans="1:11">
      <c r="A26" s="57" t="s">
        <v>72</v>
      </c>
      <c r="B26" s="79">
        <v>5719</v>
      </c>
      <c r="C26" s="79">
        <v>6375</v>
      </c>
      <c r="D26" s="79">
        <v>7031</v>
      </c>
      <c r="E26" s="79">
        <v>7687</v>
      </c>
      <c r="F26" s="79">
        <v>8343</v>
      </c>
    </row>
    <row r="27" spans="1:11">
      <c r="A27" s="57" t="s">
        <v>73</v>
      </c>
      <c r="B27" s="79">
        <v>5918</v>
      </c>
      <c r="C27" s="79">
        <v>6738</v>
      </c>
      <c r="D27" s="79">
        <v>7558</v>
      </c>
      <c r="E27" s="79">
        <v>8378</v>
      </c>
      <c r="F27" s="79">
        <v>9198</v>
      </c>
    </row>
    <row r="28" spans="1:11">
      <c r="A28" s="57" t="s">
        <v>74</v>
      </c>
      <c r="B28" s="79">
        <v>6117</v>
      </c>
      <c r="C28" s="79">
        <v>7101</v>
      </c>
      <c r="D28" s="79">
        <v>8085</v>
      </c>
      <c r="E28" s="79">
        <v>9069</v>
      </c>
      <c r="F28" s="79">
        <v>10053</v>
      </c>
    </row>
    <row r="29" spans="1:11">
      <c r="A29" s="57" t="s">
        <v>121</v>
      </c>
      <c r="B29" s="79">
        <v>6316</v>
      </c>
      <c r="C29" s="79">
        <v>7464</v>
      </c>
      <c r="D29" s="79">
        <v>8612</v>
      </c>
      <c r="E29" s="79">
        <v>9760</v>
      </c>
      <c r="F29" s="79">
        <v>10908</v>
      </c>
      <c r="G29" s="9"/>
      <c r="H29" s="9"/>
      <c r="I29" s="9"/>
      <c r="J29" s="9"/>
      <c r="K29" s="9"/>
    </row>
    <row r="30" spans="1:11">
      <c r="A30" s="57" t="s">
        <v>122</v>
      </c>
      <c r="B30" s="79">
        <v>6515</v>
      </c>
      <c r="C30" s="79">
        <v>7827</v>
      </c>
      <c r="D30" s="79">
        <v>9139</v>
      </c>
      <c r="E30" s="79">
        <v>10451</v>
      </c>
      <c r="F30" s="79">
        <v>11763</v>
      </c>
      <c r="G30" s="9"/>
      <c r="H30" s="9"/>
      <c r="I30" s="9"/>
      <c r="J30" s="9"/>
      <c r="K30" s="9"/>
    </row>
    <row r="31" spans="1:11">
      <c r="A31" s="57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>
      <c r="A32" s="107" t="s">
        <v>250</v>
      </c>
      <c r="B32" s="107"/>
      <c r="C32" s="107"/>
      <c r="D32" s="107"/>
      <c r="E32" s="107"/>
      <c r="G32" s="9"/>
      <c r="H32" s="9"/>
      <c r="I32" s="9"/>
      <c r="J32" s="9"/>
      <c r="K32" s="9"/>
    </row>
    <row r="33" spans="1:11">
      <c r="A33" s="57" t="s">
        <v>69</v>
      </c>
      <c r="B33" s="79">
        <v>487</v>
      </c>
      <c r="C33" s="79">
        <v>808</v>
      </c>
      <c r="D33" s="79">
        <v>1129</v>
      </c>
      <c r="E33" s="79">
        <v>1450</v>
      </c>
      <c r="F33" s="79">
        <v>1771</v>
      </c>
      <c r="G33" s="9"/>
      <c r="H33" s="9"/>
      <c r="I33" s="9"/>
      <c r="J33" s="9"/>
      <c r="K33" s="9"/>
    </row>
    <row r="34" spans="1:11">
      <c r="A34" s="57" t="s">
        <v>70</v>
      </c>
      <c r="B34" s="79">
        <v>1303</v>
      </c>
      <c r="C34" s="79">
        <v>1944</v>
      </c>
      <c r="D34" s="79">
        <v>2585</v>
      </c>
      <c r="E34" s="79">
        <v>3226</v>
      </c>
      <c r="F34" s="79">
        <v>3867</v>
      </c>
      <c r="G34" s="9"/>
      <c r="H34" s="9"/>
      <c r="I34" s="9"/>
      <c r="J34" s="9"/>
      <c r="K34" s="9"/>
    </row>
    <row r="35" spans="1:11">
      <c r="A35" s="57" t="s">
        <v>71</v>
      </c>
      <c r="B35" s="79">
        <v>2119</v>
      </c>
      <c r="C35" s="79">
        <v>3080</v>
      </c>
      <c r="D35" s="79">
        <v>4041</v>
      </c>
      <c r="E35" s="79">
        <v>5002</v>
      </c>
      <c r="F35" s="79">
        <v>5963</v>
      </c>
      <c r="G35" s="9"/>
      <c r="H35" s="9"/>
      <c r="I35" s="9"/>
      <c r="J35" s="9"/>
      <c r="K35" s="9"/>
    </row>
    <row r="36" spans="1:11">
      <c r="A36" s="57" t="s">
        <v>72</v>
      </c>
      <c r="B36" s="79">
        <v>2935</v>
      </c>
      <c r="C36" s="79">
        <v>4216</v>
      </c>
      <c r="D36" s="79">
        <v>5497</v>
      </c>
      <c r="E36" s="79">
        <v>6778</v>
      </c>
      <c r="F36" s="79">
        <v>8059</v>
      </c>
      <c r="G36" s="9"/>
      <c r="H36" s="9"/>
      <c r="I36" s="9"/>
      <c r="J36" s="9"/>
      <c r="K36" s="9"/>
    </row>
    <row r="37" spans="1:11">
      <c r="A37" s="57" t="s">
        <v>73</v>
      </c>
      <c r="B37" s="79">
        <v>3751</v>
      </c>
      <c r="C37" s="79">
        <v>5352</v>
      </c>
      <c r="D37" s="79">
        <v>6953</v>
      </c>
      <c r="E37" s="79">
        <v>8554</v>
      </c>
      <c r="F37" s="79">
        <v>10155</v>
      </c>
      <c r="G37" s="9"/>
      <c r="H37" s="9"/>
      <c r="I37" s="9"/>
      <c r="J37" s="9"/>
      <c r="K37" s="9"/>
    </row>
    <row r="38" spans="1:11">
      <c r="A38" s="57" t="s">
        <v>74</v>
      </c>
      <c r="B38" s="79">
        <v>4567</v>
      </c>
      <c r="C38" s="79">
        <v>6488</v>
      </c>
      <c r="D38" s="79">
        <v>8409</v>
      </c>
      <c r="E38" s="79">
        <v>10330</v>
      </c>
      <c r="F38" s="79">
        <v>12251</v>
      </c>
      <c r="G38" s="9"/>
      <c r="H38" s="9"/>
      <c r="I38" s="9"/>
      <c r="J38" s="9"/>
      <c r="K38" s="9"/>
    </row>
    <row r="39" spans="1:11">
      <c r="A39" s="57" t="s">
        <v>121</v>
      </c>
      <c r="B39" s="79">
        <v>5383</v>
      </c>
      <c r="C39" s="79">
        <v>7624</v>
      </c>
      <c r="D39" s="79">
        <v>9865</v>
      </c>
      <c r="E39" s="79">
        <v>12106</v>
      </c>
      <c r="F39" s="79">
        <v>14347</v>
      </c>
      <c r="G39" s="9"/>
      <c r="H39" s="9"/>
      <c r="I39" s="9"/>
      <c r="J39" s="9"/>
      <c r="K39" s="9"/>
    </row>
    <row r="40" spans="1:11">
      <c r="A40" s="57" t="s">
        <v>122</v>
      </c>
      <c r="B40" s="79">
        <v>6199</v>
      </c>
      <c r="C40" s="79">
        <v>8760</v>
      </c>
      <c r="D40" s="79">
        <v>11321</v>
      </c>
      <c r="E40" s="79">
        <v>13882</v>
      </c>
      <c r="F40" s="79">
        <v>16443</v>
      </c>
      <c r="G40" s="9"/>
      <c r="H40" s="9"/>
      <c r="I40" s="9"/>
      <c r="J40" s="9"/>
      <c r="K40" s="9"/>
    </row>
    <row r="41" spans="1:11">
      <c r="A41" s="57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>
      <c r="A42" s="108" t="s">
        <v>180</v>
      </c>
      <c r="B42" s="108"/>
      <c r="C42" s="108"/>
      <c r="D42" s="108"/>
      <c r="E42" s="9"/>
      <c r="F42" s="9"/>
      <c r="G42" s="9"/>
      <c r="H42" s="9"/>
      <c r="I42" s="9"/>
      <c r="J42" s="9"/>
      <c r="K42" s="9"/>
    </row>
    <row r="43" spans="1:11">
      <c r="A43" s="57" t="s">
        <v>69</v>
      </c>
      <c r="B43" s="79">
        <v>19029</v>
      </c>
      <c r="C43" s="79">
        <v>19449</v>
      </c>
      <c r="D43" s="79">
        <v>19869</v>
      </c>
      <c r="E43" s="79">
        <v>20289</v>
      </c>
      <c r="F43" s="79">
        <v>20709</v>
      </c>
      <c r="G43" s="9"/>
      <c r="H43" s="9"/>
      <c r="I43" s="9"/>
      <c r="J43" s="9"/>
      <c r="K43" s="9"/>
    </row>
    <row r="44" spans="1:11">
      <c r="A44" s="57" t="s">
        <v>70</v>
      </c>
      <c r="B44" s="79">
        <v>20315</v>
      </c>
      <c r="C44" s="79">
        <v>21155</v>
      </c>
      <c r="D44" s="79">
        <v>21995</v>
      </c>
      <c r="E44" s="79">
        <v>22835</v>
      </c>
      <c r="F44" s="79">
        <v>23675</v>
      </c>
      <c r="G44" s="9"/>
      <c r="H44" s="9"/>
      <c r="I44" s="9"/>
      <c r="J44" s="9"/>
      <c r="K44" s="9"/>
    </row>
    <row r="45" spans="1:11">
      <c r="A45" s="57" t="s">
        <v>71</v>
      </c>
      <c r="B45" s="79">
        <v>21601</v>
      </c>
      <c r="C45" s="79">
        <v>22861</v>
      </c>
      <c r="D45" s="79">
        <v>24121</v>
      </c>
      <c r="E45" s="79">
        <v>25381</v>
      </c>
      <c r="F45" s="79">
        <v>26641</v>
      </c>
      <c r="G45" s="9"/>
      <c r="H45" s="9"/>
      <c r="I45" s="9"/>
      <c r="J45" s="9"/>
      <c r="K45" s="9"/>
    </row>
    <row r="46" spans="1:11">
      <c r="A46" s="57" t="s">
        <v>72</v>
      </c>
      <c r="B46" s="79">
        <v>22887</v>
      </c>
      <c r="C46" s="79">
        <v>24567</v>
      </c>
      <c r="D46" s="79">
        <v>26247</v>
      </c>
      <c r="E46" s="79">
        <v>27927</v>
      </c>
      <c r="F46" s="79">
        <v>29607</v>
      </c>
    </row>
    <row r="47" spans="1:11">
      <c r="A47" s="57" t="s">
        <v>73</v>
      </c>
      <c r="B47" s="79">
        <v>24173</v>
      </c>
      <c r="C47" s="79">
        <v>26273</v>
      </c>
      <c r="D47" s="79">
        <v>28373</v>
      </c>
      <c r="E47" s="79">
        <v>30473</v>
      </c>
      <c r="F47" s="79">
        <v>32573</v>
      </c>
    </row>
    <row r="48" spans="1:11">
      <c r="A48" s="57" t="s">
        <v>74</v>
      </c>
      <c r="B48" s="79">
        <v>25459</v>
      </c>
      <c r="C48" s="79">
        <v>27979</v>
      </c>
      <c r="D48" s="79">
        <v>30499</v>
      </c>
      <c r="E48" s="79">
        <v>33019</v>
      </c>
      <c r="F48" s="79">
        <v>35539</v>
      </c>
    </row>
    <row r="49" spans="1:14">
      <c r="A49" s="57" t="s">
        <v>121</v>
      </c>
      <c r="B49" s="79">
        <v>26745</v>
      </c>
      <c r="C49" s="79">
        <v>29685</v>
      </c>
      <c r="D49" s="79">
        <v>32625</v>
      </c>
      <c r="E49" s="79">
        <v>35565</v>
      </c>
      <c r="F49" s="79">
        <v>38505</v>
      </c>
    </row>
    <row r="50" spans="1:14">
      <c r="A50" s="57" t="s">
        <v>122</v>
      </c>
      <c r="B50" s="79">
        <v>28031</v>
      </c>
      <c r="C50" s="79">
        <v>31391</v>
      </c>
      <c r="D50" s="79">
        <v>34751</v>
      </c>
      <c r="E50" s="79">
        <v>38111</v>
      </c>
      <c r="F50" s="79">
        <v>41471</v>
      </c>
    </row>
    <row r="54" spans="1:14">
      <c r="A54" s="107" t="s">
        <v>272</v>
      </c>
      <c r="B54" s="107"/>
      <c r="C54" s="107"/>
      <c r="D54" s="107"/>
      <c r="E54" s="107"/>
      <c r="H54" s="106" t="s">
        <v>226</v>
      </c>
      <c r="I54" s="106"/>
      <c r="J54" s="106"/>
      <c r="K54" s="106"/>
      <c r="L54" s="106"/>
      <c r="M54" s="106"/>
      <c r="N54" s="106"/>
    </row>
    <row r="55" spans="1:14">
      <c r="A55" s="89" t="s">
        <v>143</v>
      </c>
      <c r="B55" s="89" t="s">
        <v>50</v>
      </c>
      <c r="C55" s="89" t="s">
        <v>29</v>
      </c>
      <c r="D55" s="89" t="s">
        <v>135</v>
      </c>
      <c r="E55" s="89" t="s">
        <v>31</v>
      </c>
      <c r="F55" s="89" t="s">
        <v>32</v>
      </c>
      <c r="H55" s="89" t="s">
        <v>224</v>
      </c>
      <c r="I55" s="89"/>
      <c r="J55" s="89"/>
      <c r="K55" s="89"/>
    </row>
    <row r="56" spans="1:14">
      <c r="A56" s="89" t="s">
        <v>69</v>
      </c>
      <c r="B56" s="85">
        <f>B3*$I56</f>
        <v>4039.8058252427186</v>
      </c>
      <c r="C56" s="85">
        <f t="shared" ref="C56:F56" si="0">C3*$I56</f>
        <v>4405.825242718447</v>
      </c>
      <c r="D56" s="85">
        <f t="shared" si="0"/>
        <v>4771.844660194175</v>
      </c>
      <c r="E56" s="85">
        <f t="shared" si="0"/>
        <v>5137.8640776699031</v>
      </c>
      <c r="F56" s="85">
        <f t="shared" si="0"/>
        <v>5503.8834951456311</v>
      </c>
      <c r="H56" s="89">
        <v>1</v>
      </c>
      <c r="I56">
        <f>1/(1+0.03)</f>
        <v>0.970873786407767</v>
      </c>
      <c r="K56" s="89"/>
    </row>
    <row r="57" spans="1:14">
      <c r="A57" s="89" t="s">
        <v>70</v>
      </c>
      <c r="B57" s="85">
        <f t="shared" ref="B57:F63" si="1">B4*$I57</f>
        <v>3775.0966160806861</v>
      </c>
      <c r="C57" s="85">
        <f t="shared" si="1"/>
        <v>4487.6991233858043</v>
      </c>
      <c r="D57" s="85">
        <f t="shared" si="1"/>
        <v>5200.301630690923</v>
      </c>
      <c r="E57" s="85">
        <f t="shared" si="1"/>
        <v>5912.9041379960408</v>
      </c>
      <c r="F57" s="85">
        <f t="shared" si="1"/>
        <v>6625.5066453011596</v>
      </c>
      <c r="H57" s="89">
        <v>2</v>
      </c>
      <c r="I57">
        <f>1/(1+0.03)^2</f>
        <v>0.94259590913375435</v>
      </c>
      <c r="K57" s="89"/>
    </row>
    <row r="58" spans="1:14">
      <c r="A58" s="89" t="s">
        <v>71</v>
      </c>
      <c r="B58" s="85">
        <f t="shared" si="1"/>
        <v>3522.3802468503113</v>
      </c>
      <c r="C58" s="85">
        <f t="shared" si="1"/>
        <v>4561.0660302161477</v>
      </c>
      <c r="D58" s="85">
        <f t="shared" si="1"/>
        <v>5599.7518135819837</v>
      </c>
      <c r="E58" s="85">
        <f t="shared" si="1"/>
        <v>6638.4375969478197</v>
      </c>
      <c r="F58" s="85">
        <f t="shared" si="1"/>
        <v>7677.1233803136556</v>
      </c>
      <c r="H58" s="89">
        <v>3</v>
      </c>
      <c r="I58">
        <f>1/(1+0.03)^3</f>
        <v>0.91514165935315961</v>
      </c>
      <c r="K58" s="89"/>
    </row>
    <row r="59" spans="1:14">
      <c r="A59" s="89" t="s">
        <v>72</v>
      </c>
      <c r="B59" s="85">
        <f t="shared" si="1"/>
        <v>3281.1826679526393</v>
      </c>
      <c r="C59" s="85">
        <f t="shared" si="1"/>
        <v>4626.3520584969929</v>
      </c>
      <c r="D59" s="85">
        <f t="shared" si="1"/>
        <v>5971.5214490413455</v>
      </c>
      <c r="E59" s="85">
        <f t="shared" si="1"/>
        <v>7316.690839585699</v>
      </c>
      <c r="F59" s="85">
        <f t="shared" si="1"/>
        <v>8661.8602301300525</v>
      </c>
      <c r="H59" s="89">
        <v>4</v>
      </c>
      <c r="I59">
        <f>1/(1+0.03)^4</f>
        <v>0.888487047915689</v>
      </c>
      <c r="K59" s="89"/>
    </row>
    <row r="60" spans="1:14">
      <c r="A60" s="89" t="s">
        <v>73</v>
      </c>
      <c r="B60" s="85">
        <f t="shared" si="1"/>
        <v>3051.0472703667883</v>
      </c>
      <c r="C60" s="85">
        <f t="shared" si="1"/>
        <v>4683.9656992060109</v>
      </c>
      <c r="D60" s="85">
        <f t="shared" si="1"/>
        <v>6316.8841280452334</v>
      </c>
      <c r="E60" s="85">
        <f t="shared" si="1"/>
        <v>7949.8025568844569</v>
      </c>
      <c r="F60" s="85">
        <f t="shared" si="1"/>
        <v>9582.7209857236794</v>
      </c>
      <c r="H60" s="89">
        <v>5</v>
      </c>
      <c r="I60">
        <f>1/(1+0.03)^5</f>
        <v>0.86260878438416411</v>
      </c>
      <c r="K60" s="91"/>
    </row>
    <row r="61" spans="1:14">
      <c r="A61" s="89" t="s">
        <v>74</v>
      </c>
      <c r="B61" s="85">
        <f t="shared" si="1"/>
        <v>2831.5342718474358</v>
      </c>
      <c r="C61" s="85">
        <f t="shared" si="1"/>
        <v>4734.298503032699</v>
      </c>
      <c r="D61" s="85">
        <f t="shared" si="1"/>
        <v>6637.0627342179614</v>
      </c>
      <c r="E61" s="85">
        <f t="shared" si="1"/>
        <v>8539.8269654032247</v>
      </c>
      <c r="F61" s="85">
        <f t="shared" si="1"/>
        <v>10442.591196588488</v>
      </c>
      <c r="H61" s="89">
        <v>6</v>
      </c>
      <c r="I61">
        <f>1/(1+0.03)^6</f>
        <v>0.83748425668365445</v>
      </c>
      <c r="K61" s="91"/>
    </row>
    <row r="62" spans="1:14">
      <c r="A62" s="89" t="s">
        <v>121</v>
      </c>
      <c r="B62" s="85">
        <f t="shared" si="1"/>
        <v>2622.220124082316</v>
      </c>
      <c r="C62" s="85">
        <f t="shared" si="1"/>
        <v>4777.7257206535469</v>
      </c>
      <c r="D62" s="85">
        <f t="shared" si="1"/>
        <v>6933.2313172247777</v>
      </c>
      <c r="E62" s="85">
        <f t="shared" si="1"/>
        <v>9088.7369137960086</v>
      </c>
      <c r="F62" s="85">
        <f t="shared" si="1"/>
        <v>11244.242510367239</v>
      </c>
      <c r="H62" s="89">
        <v>7</v>
      </c>
      <c r="I62">
        <f>1/(1+0.03)^7</f>
        <v>0.81309151134335378</v>
      </c>
      <c r="K62" s="91"/>
    </row>
    <row r="63" spans="1:14">
      <c r="A63" s="89" t="s">
        <v>145</v>
      </c>
      <c r="B63" s="85">
        <f t="shared" si="1"/>
        <v>2422.6969401094689</v>
      </c>
      <c r="C63" s="85">
        <f t="shared" si="1"/>
        <v>4814.6069200806942</v>
      </c>
      <c r="D63" s="85">
        <f t="shared" si="1"/>
        <v>7206.516900051919</v>
      </c>
      <c r="E63" s="85">
        <f t="shared" si="1"/>
        <v>9598.4268800231439</v>
      </c>
      <c r="F63" s="85">
        <f>F10*$I63</f>
        <v>11990.33685999437</v>
      </c>
      <c r="H63" s="89">
        <v>8</v>
      </c>
      <c r="I63">
        <f>1/(1+0.03)^8</f>
        <v>0.78940923431393573</v>
      </c>
      <c r="K63" s="91"/>
    </row>
    <row r="65" spans="1:13">
      <c r="A65" s="107" t="s">
        <v>155</v>
      </c>
      <c r="B65" s="107"/>
      <c r="C65" s="107"/>
      <c r="D65" s="107"/>
      <c r="E65" s="107"/>
    </row>
    <row r="66" spans="1:13">
      <c r="A66" s="89" t="s">
        <v>69</v>
      </c>
      <c r="B66" s="94">
        <v>-1737</v>
      </c>
      <c r="C66" s="94">
        <v>-1500</v>
      </c>
      <c r="D66" s="94">
        <v>-1263</v>
      </c>
      <c r="E66" s="94">
        <v>-1026</v>
      </c>
      <c r="F66" s="94">
        <v>-789</v>
      </c>
      <c r="I66" s="93"/>
      <c r="J66" s="93"/>
      <c r="K66" s="93"/>
      <c r="L66" s="93"/>
      <c r="M66" s="93"/>
    </row>
    <row r="67" spans="1:13">
      <c r="A67" s="89" t="s">
        <v>70</v>
      </c>
      <c r="B67" s="94">
        <v>-1254</v>
      </c>
      <c r="C67" s="94">
        <v>-794</v>
      </c>
      <c r="D67" s="94">
        <v>-334</v>
      </c>
      <c r="E67" s="85">
        <f t="shared" ref="B67:F73" si="2">E14*$I57</f>
        <v>126.30785182392309</v>
      </c>
      <c r="F67" s="85">
        <f t="shared" si="2"/>
        <v>586.29465548119515</v>
      </c>
      <c r="I67" s="93"/>
      <c r="J67" s="93"/>
      <c r="K67" s="93"/>
    </row>
    <row r="68" spans="1:13">
      <c r="A68" s="89" t="s">
        <v>71</v>
      </c>
      <c r="B68" s="94">
        <v>-797</v>
      </c>
      <c r="C68" s="94">
        <v>-127</v>
      </c>
      <c r="D68" s="85">
        <f t="shared" si="2"/>
        <v>542.6790039964236</v>
      </c>
      <c r="E68" s="85">
        <f t="shared" si="2"/>
        <v>1212.5626986429365</v>
      </c>
      <c r="F68" s="85">
        <f t="shared" si="2"/>
        <v>1882.4463932894494</v>
      </c>
      <c r="I68" s="93"/>
      <c r="J68" s="93"/>
    </row>
    <row r="69" spans="1:13">
      <c r="A69" s="89" t="s">
        <v>72</v>
      </c>
      <c r="B69" s="94">
        <v>-366</v>
      </c>
      <c r="C69" s="85">
        <f t="shared" si="2"/>
        <v>501.10669502444858</v>
      </c>
      <c r="D69" s="85">
        <f t="shared" si="2"/>
        <v>1368.270053790161</v>
      </c>
      <c r="E69" s="85">
        <f t="shared" si="2"/>
        <v>2235.4334125558735</v>
      </c>
      <c r="F69" s="85">
        <f t="shared" si="2"/>
        <v>3102.5967713215859</v>
      </c>
      <c r="I69" s="93"/>
    </row>
    <row r="70" spans="1:13">
      <c r="A70" s="89" t="s">
        <v>73</v>
      </c>
      <c r="B70" s="85">
        <f t="shared" si="2"/>
        <v>40.542612866055713</v>
      </c>
      <c r="C70" s="85">
        <f t="shared" si="2"/>
        <v>1092.925329814736</v>
      </c>
      <c r="D70" s="85">
        <f t="shared" si="2"/>
        <v>2145.3080467634163</v>
      </c>
      <c r="E70" s="85">
        <f t="shared" si="2"/>
        <v>3197.6907637120962</v>
      </c>
      <c r="F70" s="85">
        <f t="shared" si="2"/>
        <v>4250.0734806607761</v>
      </c>
    </row>
    <row r="71" spans="1:13">
      <c r="A71" s="89" t="s">
        <v>74</v>
      </c>
      <c r="B71" s="85">
        <f t="shared" si="2"/>
        <v>423.76703388192914</v>
      </c>
      <c r="C71" s="85">
        <f t="shared" si="2"/>
        <v>1649.8439856667992</v>
      </c>
      <c r="D71" s="85">
        <f t="shared" si="2"/>
        <v>2875.9209374516695</v>
      </c>
      <c r="E71" s="85">
        <f t="shared" si="2"/>
        <v>4101.9978892365398</v>
      </c>
      <c r="F71" s="85">
        <f t="shared" si="2"/>
        <v>5328.0748410214092</v>
      </c>
    </row>
    <row r="72" spans="1:13">
      <c r="A72" s="89" t="s">
        <v>121</v>
      </c>
      <c r="B72" s="85">
        <f t="shared" si="2"/>
        <v>784.6333084463364</v>
      </c>
      <c r="C72" s="85">
        <f t="shared" si="2"/>
        <v>2173.3936098207846</v>
      </c>
      <c r="D72" s="85">
        <f t="shared" si="2"/>
        <v>3562.1539111952329</v>
      </c>
      <c r="E72" s="85">
        <f t="shared" si="2"/>
        <v>4950.9142125696808</v>
      </c>
      <c r="F72" s="85">
        <f t="shared" si="2"/>
        <v>6339.6745139441291</v>
      </c>
    </row>
    <row r="73" spans="1:13">
      <c r="A73" s="89" t="s">
        <v>122</v>
      </c>
      <c r="B73" s="85">
        <f t="shared" si="2"/>
        <v>1124.1187496630446</v>
      </c>
      <c r="C73" s="85">
        <f t="shared" si="2"/>
        <v>2665.0455750438468</v>
      </c>
      <c r="D73" s="85">
        <f t="shared" si="2"/>
        <v>4205.9724004246491</v>
      </c>
      <c r="E73" s="85">
        <f t="shared" si="2"/>
        <v>5746.8992258054523</v>
      </c>
      <c r="F73" s="85">
        <f t="shared" si="2"/>
        <v>7287.8260511862545</v>
      </c>
    </row>
    <row r="75" spans="1:13">
      <c r="A75" s="107" t="s">
        <v>156</v>
      </c>
      <c r="B75" s="107"/>
      <c r="C75" s="107"/>
      <c r="D75" s="107"/>
      <c r="E75" s="107"/>
    </row>
    <row r="76" spans="1:13">
      <c r="A76" s="89" t="s">
        <v>69</v>
      </c>
      <c r="B76" s="85">
        <f>B23*$I56</f>
        <v>4972.8155339805826</v>
      </c>
      <c r="C76" s="85">
        <f t="shared" ref="C76:F76" si="3">C23*$I56</f>
        <v>5132.038834951456</v>
      </c>
      <c r="D76" s="85">
        <f t="shared" si="3"/>
        <v>5291.2621359223303</v>
      </c>
      <c r="E76" s="85">
        <f t="shared" si="3"/>
        <v>5450.4854368932038</v>
      </c>
      <c r="F76" s="85">
        <f t="shared" si="3"/>
        <v>5609.7087378640781</v>
      </c>
    </row>
    <row r="77" spans="1:13">
      <c r="A77" s="89" t="s">
        <v>70</v>
      </c>
      <c r="B77" s="85">
        <f t="shared" ref="B77:F83" si="4">B24*$I57</f>
        <v>5015.5528325007072</v>
      </c>
      <c r="C77" s="85">
        <f t="shared" si="4"/>
        <v>5324.7242906965785</v>
      </c>
      <c r="D77" s="85">
        <f t="shared" si="4"/>
        <v>5633.8957488924498</v>
      </c>
      <c r="E77" s="85">
        <f t="shared" si="4"/>
        <v>5943.0672070883211</v>
      </c>
      <c r="F77" s="85">
        <f t="shared" si="4"/>
        <v>6252.2386652841924</v>
      </c>
    </row>
    <row r="78" spans="1:13">
      <c r="A78" s="89" t="s">
        <v>71</v>
      </c>
      <c r="B78" s="85">
        <f t="shared" si="4"/>
        <v>5051.5819596294414</v>
      </c>
      <c r="C78" s="85">
        <f t="shared" si="4"/>
        <v>5501.831656031196</v>
      </c>
      <c r="D78" s="85">
        <f t="shared" si="4"/>
        <v>5952.0813524329496</v>
      </c>
      <c r="E78" s="85">
        <f t="shared" si="4"/>
        <v>6402.3310488347042</v>
      </c>
      <c r="F78" s="85">
        <f t="shared" si="4"/>
        <v>6852.5807452364588</v>
      </c>
    </row>
    <row r="79" spans="1:13">
      <c r="A79" s="89" t="s">
        <v>72</v>
      </c>
      <c r="B79" s="85">
        <f t="shared" si="4"/>
        <v>5081.2574270298255</v>
      </c>
      <c r="C79" s="85">
        <f t="shared" si="4"/>
        <v>5664.1049304625176</v>
      </c>
      <c r="D79" s="85">
        <f t="shared" si="4"/>
        <v>6246.9524338952097</v>
      </c>
      <c r="E79" s="85">
        <f t="shared" si="4"/>
        <v>6829.7999373279017</v>
      </c>
      <c r="F79" s="85">
        <f t="shared" si="4"/>
        <v>7412.6474407605929</v>
      </c>
    </row>
    <row r="80" spans="1:13">
      <c r="A80" s="89" t="s">
        <v>73</v>
      </c>
      <c r="B80" s="85">
        <f t="shared" si="4"/>
        <v>5104.9187859854828</v>
      </c>
      <c r="C80" s="85">
        <f t="shared" si="4"/>
        <v>5812.257989180498</v>
      </c>
      <c r="D80" s="85">
        <f t="shared" si="4"/>
        <v>6519.5971923755123</v>
      </c>
      <c r="E80" s="85">
        <f t="shared" si="4"/>
        <v>7226.9363955705267</v>
      </c>
      <c r="F80" s="85">
        <f t="shared" si="4"/>
        <v>7934.2755987655419</v>
      </c>
    </row>
    <row r="81" spans="1:7">
      <c r="A81" s="89" t="s">
        <v>74</v>
      </c>
      <c r="B81" s="85">
        <f t="shared" si="4"/>
        <v>5122.8911981339143</v>
      </c>
      <c r="C81" s="85">
        <f t="shared" si="4"/>
        <v>5946.9757067106302</v>
      </c>
      <c r="D81" s="85">
        <f t="shared" si="4"/>
        <v>6771.0602152873462</v>
      </c>
      <c r="E81" s="85">
        <f t="shared" si="4"/>
        <v>7595.1447238640621</v>
      </c>
      <c r="F81" s="85">
        <f t="shared" si="4"/>
        <v>8419.229232440779</v>
      </c>
    </row>
    <row r="82" spans="1:7">
      <c r="A82" s="89" t="s">
        <v>121</v>
      </c>
      <c r="B82" s="85">
        <f t="shared" si="4"/>
        <v>5135.4859856446228</v>
      </c>
      <c r="C82" s="85">
        <f t="shared" si="4"/>
        <v>6068.9150406667923</v>
      </c>
      <c r="D82" s="85">
        <f t="shared" si="4"/>
        <v>7002.3440956889626</v>
      </c>
      <c r="E82" s="85">
        <f t="shared" si="4"/>
        <v>7935.773150711133</v>
      </c>
      <c r="F82" s="85">
        <f t="shared" si="4"/>
        <v>8869.2022057333033</v>
      </c>
    </row>
    <row r="83" spans="1:7">
      <c r="A83" s="89" t="s">
        <v>122</v>
      </c>
      <c r="B83" s="85">
        <f t="shared" si="4"/>
        <v>5143.0011615552912</v>
      </c>
      <c r="C83" s="85">
        <f t="shared" si="4"/>
        <v>6178.7060769751752</v>
      </c>
      <c r="D83" s="85">
        <f t="shared" si="4"/>
        <v>7214.4109923950582</v>
      </c>
      <c r="E83" s="85">
        <f t="shared" si="4"/>
        <v>8250.1159078149431</v>
      </c>
      <c r="F83" s="85">
        <f>F30*$I63</f>
        <v>9285.8208232348261</v>
      </c>
    </row>
    <row r="84" spans="1:7">
      <c r="A84" s="89"/>
      <c r="B84" s="9"/>
      <c r="C84" s="9"/>
      <c r="D84" s="9"/>
      <c r="E84" s="9"/>
      <c r="F84" s="9"/>
    </row>
    <row r="85" spans="1:7">
      <c r="A85" s="107" t="s">
        <v>176</v>
      </c>
      <c r="B85" s="107"/>
      <c r="C85" s="107"/>
      <c r="D85" s="107"/>
      <c r="E85" s="107"/>
      <c r="F85" s="107"/>
      <c r="G85" s="107"/>
    </row>
    <row r="86" spans="1:7">
      <c r="A86" s="89" t="s">
        <v>69</v>
      </c>
      <c r="B86" s="85">
        <f>B33*$I56</f>
        <v>472.81553398058253</v>
      </c>
      <c r="C86" s="85">
        <f t="shared" ref="C86:F86" si="5">C33*$I56</f>
        <v>784.46601941747576</v>
      </c>
      <c r="D86" s="85">
        <f t="shared" si="5"/>
        <v>1096.1165048543689</v>
      </c>
      <c r="E86" s="85">
        <f t="shared" si="5"/>
        <v>1407.7669902912621</v>
      </c>
      <c r="F86" s="85">
        <f t="shared" si="5"/>
        <v>1719.4174757281553</v>
      </c>
    </row>
    <row r="87" spans="1:7">
      <c r="A87" s="89" t="s">
        <v>70</v>
      </c>
      <c r="B87" s="85">
        <f t="shared" ref="B87:F93" si="6">B34*$I57</f>
        <v>1228.202469601282</v>
      </c>
      <c r="C87" s="85">
        <f t="shared" si="6"/>
        <v>1832.4064473560184</v>
      </c>
      <c r="D87" s="85">
        <f t="shared" si="6"/>
        <v>2436.6104251107549</v>
      </c>
      <c r="E87" s="85">
        <f t="shared" si="6"/>
        <v>3040.8144028654915</v>
      </c>
      <c r="F87" s="85">
        <f t="shared" si="6"/>
        <v>3645.0183806202281</v>
      </c>
    </row>
    <row r="88" spans="1:7">
      <c r="A88" s="89" t="s">
        <v>71</v>
      </c>
      <c r="B88" s="85">
        <f t="shared" si="6"/>
        <v>1939.1851761693451</v>
      </c>
      <c r="C88" s="85">
        <f t="shared" si="6"/>
        <v>2818.6363108077317</v>
      </c>
      <c r="D88" s="85">
        <f t="shared" si="6"/>
        <v>3698.0874454461182</v>
      </c>
      <c r="E88" s="85">
        <f t="shared" si="6"/>
        <v>4577.5385800845042</v>
      </c>
      <c r="F88" s="85">
        <f t="shared" si="6"/>
        <v>5456.9897147228903</v>
      </c>
    </row>
    <row r="89" spans="1:7">
      <c r="A89" s="89" t="s">
        <v>72</v>
      </c>
      <c r="B89" s="85">
        <f t="shared" si="6"/>
        <v>2607.7094856325471</v>
      </c>
      <c r="C89" s="85">
        <f t="shared" si="6"/>
        <v>3745.8613940125447</v>
      </c>
      <c r="D89" s="85">
        <f t="shared" si="6"/>
        <v>4884.0133023925428</v>
      </c>
      <c r="E89" s="85">
        <f t="shared" si="6"/>
        <v>6022.1652107725404</v>
      </c>
      <c r="F89" s="85">
        <f t="shared" si="6"/>
        <v>7160.317119152538</v>
      </c>
    </row>
    <row r="90" spans="1:7">
      <c r="A90" s="89" t="s">
        <v>73</v>
      </c>
      <c r="B90" s="85">
        <f t="shared" si="6"/>
        <v>3235.6455502249996</v>
      </c>
      <c r="C90" s="85">
        <f t="shared" si="6"/>
        <v>4616.6822140240465</v>
      </c>
      <c r="D90" s="85">
        <f t="shared" si="6"/>
        <v>5997.718877823093</v>
      </c>
      <c r="E90" s="85">
        <f t="shared" si="6"/>
        <v>7378.7555416221394</v>
      </c>
      <c r="F90" s="85">
        <f t="shared" si="6"/>
        <v>8759.7922054211867</v>
      </c>
    </row>
    <row r="91" spans="1:7">
      <c r="A91" s="89" t="s">
        <v>74</v>
      </c>
      <c r="B91" s="85">
        <f t="shared" si="6"/>
        <v>3824.7906002742498</v>
      </c>
      <c r="C91" s="85">
        <f t="shared" si="6"/>
        <v>5433.5978573635502</v>
      </c>
      <c r="D91" s="85">
        <f t="shared" si="6"/>
        <v>7042.4051144528503</v>
      </c>
      <c r="E91" s="85">
        <f t="shared" si="6"/>
        <v>8651.2123715421512</v>
      </c>
      <c r="F91" s="85">
        <f t="shared" si="6"/>
        <v>10260.019628631451</v>
      </c>
    </row>
    <row r="92" spans="1:7">
      <c r="A92" s="89" t="s">
        <v>121</v>
      </c>
      <c r="B92" s="85">
        <f t="shared" si="6"/>
        <v>4376.8716055612731</v>
      </c>
      <c r="C92" s="85">
        <f t="shared" si="6"/>
        <v>6199.0096824817292</v>
      </c>
      <c r="D92" s="85">
        <f t="shared" si="6"/>
        <v>8021.1477594021853</v>
      </c>
      <c r="E92" s="85">
        <f t="shared" si="6"/>
        <v>9843.2858363226405</v>
      </c>
      <c r="F92" s="85">
        <f t="shared" si="6"/>
        <v>11665.423913243098</v>
      </c>
    </row>
    <row r="93" spans="1:7">
      <c r="A93" s="89" t="s">
        <v>122</v>
      </c>
      <c r="B93" s="85">
        <f t="shared" si="6"/>
        <v>4893.5478435120876</v>
      </c>
      <c r="C93" s="85">
        <f t="shared" si="6"/>
        <v>6915.2248925900767</v>
      </c>
      <c r="D93" s="85">
        <f t="shared" si="6"/>
        <v>8936.9019416680658</v>
      </c>
      <c r="E93" s="85">
        <f t="shared" si="6"/>
        <v>10958.578990746055</v>
      </c>
      <c r="F93" s="85">
        <f t="shared" si="6"/>
        <v>12980.256039824046</v>
      </c>
    </row>
    <row r="94" spans="1:7">
      <c r="A94" s="89"/>
      <c r="B94" s="9"/>
      <c r="C94" s="9"/>
      <c r="D94" s="9"/>
      <c r="E94" s="9"/>
      <c r="F94" s="9"/>
    </row>
    <row r="95" spans="1:7">
      <c r="A95" s="108" t="s">
        <v>157</v>
      </c>
      <c r="B95" s="108"/>
      <c r="C95" s="108"/>
      <c r="D95" s="108"/>
      <c r="E95" s="107"/>
      <c r="F95" s="107"/>
    </row>
    <row r="96" spans="1:7">
      <c r="A96" s="89" t="s">
        <v>69</v>
      </c>
      <c r="B96" s="85">
        <f>B43*$I56</f>
        <v>18474.757281553397</v>
      </c>
      <c r="C96" s="85">
        <f t="shared" ref="C96:F96" si="7">C43*$I56</f>
        <v>18882.524271844661</v>
      </c>
      <c r="D96" s="85">
        <f t="shared" si="7"/>
        <v>19290.291262135921</v>
      </c>
      <c r="E96" s="85">
        <f t="shared" si="7"/>
        <v>19698.058252427185</v>
      </c>
      <c r="F96" s="85">
        <f t="shared" si="7"/>
        <v>20105.825242718445</v>
      </c>
    </row>
    <row r="97" spans="1:6">
      <c r="A97" s="89" t="s">
        <v>70</v>
      </c>
      <c r="B97" s="85">
        <f t="shared" ref="B97:F103" si="8">B44*$I57</f>
        <v>19148.835894052219</v>
      </c>
      <c r="C97" s="85">
        <f t="shared" si="8"/>
        <v>19940.616457724573</v>
      </c>
      <c r="D97" s="85">
        <f t="shared" si="8"/>
        <v>20732.397021396926</v>
      </c>
      <c r="E97" s="85">
        <f t="shared" si="8"/>
        <v>21524.177585069279</v>
      </c>
      <c r="F97" s="85">
        <f t="shared" si="8"/>
        <v>22315.958148741633</v>
      </c>
    </row>
    <row r="98" spans="1:6">
      <c r="A98" s="89" t="s">
        <v>71</v>
      </c>
      <c r="B98" s="85">
        <f t="shared" si="8"/>
        <v>19767.9749836876</v>
      </c>
      <c r="C98" s="85">
        <f t="shared" si="8"/>
        <v>20921.053474472581</v>
      </c>
      <c r="D98" s="85">
        <f t="shared" si="8"/>
        <v>22074.131965257562</v>
      </c>
      <c r="E98" s="85">
        <f t="shared" si="8"/>
        <v>23227.210456042543</v>
      </c>
      <c r="F98" s="85">
        <f t="shared" si="8"/>
        <v>24380.288946827524</v>
      </c>
    </row>
    <row r="99" spans="1:6">
      <c r="A99" s="89" t="s">
        <v>72</v>
      </c>
      <c r="B99" s="85">
        <f t="shared" si="8"/>
        <v>20334.803065646374</v>
      </c>
      <c r="C99" s="85">
        <f t="shared" si="8"/>
        <v>21827.461306144731</v>
      </c>
      <c r="D99" s="85">
        <f t="shared" si="8"/>
        <v>23320.119546643091</v>
      </c>
      <c r="E99" s="85">
        <f t="shared" si="8"/>
        <v>24812.777787141447</v>
      </c>
      <c r="F99" s="85">
        <f t="shared" si="8"/>
        <v>26305.436027639804</v>
      </c>
    </row>
    <row r="100" spans="1:6">
      <c r="A100" s="89" t="s">
        <v>73</v>
      </c>
      <c r="B100" s="85">
        <f t="shared" si="8"/>
        <v>20851.842144918399</v>
      </c>
      <c r="C100" s="85">
        <f t="shared" si="8"/>
        <v>22663.320592125143</v>
      </c>
      <c r="D100" s="85">
        <f t="shared" si="8"/>
        <v>24474.799039331887</v>
      </c>
      <c r="E100" s="85">
        <f t="shared" si="8"/>
        <v>26286.277486538635</v>
      </c>
      <c r="F100" s="85">
        <f t="shared" si="8"/>
        <v>28097.755933745379</v>
      </c>
    </row>
    <row r="101" spans="1:6">
      <c r="A101" s="89" t="s">
        <v>74</v>
      </c>
      <c r="B101" s="85">
        <f t="shared" si="8"/>
        <v>21321.511690909159</v>
      </c>
      <c r="C101" s="85">
        <f t="shared" si="8"/>
        <v>23431.972017751967</v>
      </c>
      <c r="D101" s="85">
        <f t="shared" si="8"/>
        <v>25542.432344594778</v>
      </c>
      <c r="E101" s="85">
        <f t="shared" si="8"/>
        <v>27652.892671437585</v>
      </c>
      <c r="F101" s="85">
        <f t="shared" si="8"/>
        <v>29763.352998280396</v>
      </c>
    </row>
    <row r="102" spans="1:6">
      <c r="A102" s="89" t="s">
        <v>121</v>
      </c>
      <c r="B102" s="85">
        <f t="shared" si="8"/>
        <v>21746.132470877998</v>
      </c>
      <c r="C102" s="85">
        <f t="shared" si="8"/>
        <v>24136.621514227456</v>
      </c>
      <c r="D102" s="85">
        <f t="shared" si="8"/>
        <v>26527.110557576918</v>
      </c>
      <c r="E102" s="85">
        <f t="shared" si="8"/>
        <v>28917.599600926376</v>
      </c>
      <c r="F102" s="85">
        <f t="shared" si="8"/>
        <v>31308.088644275838</v>
      </c>
    </row>
    <row r="103" spans="1:6">
      <c r="A103" s="89" t="s">
        <v>122</v>
      </c>
      <c r="B103" s="85">
        <f t="shared" si="8"/>
        <v>22127.930247053933</v>
      </c>
      <c r="C103" s="85">
        <f t="shared" si="8"/>
        <v>24780.345274348758</v>
      </c>
      <c r="D103" s="85">
        <f t="shared" si="8"/>
        <v>27432.760301643579</v>
      </c>
      <c r="E103" s="85">
        <f>E50*$I63</f>
        <v>30085.175328938403</v>
      </c>
      <c r="F103" s="85">
        <f>F50*$I63</f>
        <v>32737.590356233228</v>
      </c>
    </row>
  </sheetData>
  <mergeCells count="11">
    <mergeCell ref="A85:G85"/>
    <mergeCell ref="A95:F95"/>
    <mergeCell ref="H54:N54"/>
    <mergeCell ref="A42:D42"/>
    <mergeCell ref="A22:C22"/>
    <mergeCell ref="A32:E32"/>
    <mergeCell ref="A12:E12"/>
    <mergeCell ref="A1:E1"/>
    <mergeCell ref="A54:E54"/>
    <mergeCell ref="A65:E65"/>
    <mergeCell ref="A75:E75"/>
  </mergeCells>
  <phoneticPr fontId="5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M103"/>
  <sheetViews>
    <sheetView view="pageLayout" topLeftCell="A54" zoomScale="75" workbookViewId="0">
      <selection activeCell="G87" sqref="G87"/>
    </sheetView>
  </sheetViews>
  <sheetFormatPr baseColWidth="10" defaultRowHeight="13"/>
  <sheetData>
    <row r="1" spans="1:6">
      <c r="A1" s="107" t="s">
        <v>34</v>
      </c>
      <c r="B1" s="107"/>
      <c r="C1" s="107"/>
    </row>
    <row r="2" spans="1:6">
      <c r="A2" s="73" t="s">
        <v>142</v>
      </c>
      <c r="B2" s="57" t="s">
        <v>50</v>
      </c>
      <c r="C2" s="57" t="s">
        <v>29</v>
      </c>
      <c r="D2" s="57" t="s">
        <v>135</v>
      </c>
      <c r="E2" s="57" t="s">
        <v>31</v>
      </c>
      <c r="F2" s="57" t="s">
        <v>32</v>
      </c>
    </row>
    <row r="3" spans="1:6">
      <c r="A3" s="57" t="s">
        <v>69</v>
      </c>
      <c r="B3" s="79">
        <v>2423</v>
      </c>
      <c r="C3" s="79">
        <v>2801</v>
      </c>
      <c r="D3" s="79">
        <v>3179</v>
      </c>
      <c r="E3" s="79">
        <v>3557</v>
      </c>
      <c r="F3" s="79">
        <v>3935</v>
      </c>
    </row>
    <row r="4" spans="1:6">
      <c r="A4" s="57" t="s">
        <v>70</v>
      </c>
      <c r="B4" s="79">
        <v>2268</v>
      </c>
      <c r="C4" s="79">
        <v>3023</v>
      </c>
      <c r="D4" s="79">
        <v>3778</v>
      </c>
      <c r="E4" s="79">
        <v>4533</v>
      </c>
      <c r="F4" s="79">
        <v>5288</v>
      </c>
    </row>
    <row r="5" spans="1:6">
      <c r="A5" s="57" t="s">
        <v>71</v>
      </c>
      <c r="B5" s="79">
        <v>2113</v>
      </c>
      <c r="C5" s="79">
        <v>3245</v>
      </c>
      <c r="D5" s="79">
        <v>4377</v>
      </c>
      <c r="E5" s="79">
        <v>5509</v>
      </c>
      <c r="F5" s="79">
        <v>6641</v>
      </c>
    </row>
    <row r="6" spans="1:6">
      <c r="A6" s="57" t="s">
        <v>72</v>
      </c>
      <c r="B6" s="79">
        <v>1958</v>
      </c>
      <c r="C6" s="79">
        <v>3467</v>
      </c>
      <c r="D6" s="79">
        <v>4976</v>
      </c>
      <c r="E6" s="79">
        <v>6485</v>
      </c>
      <c r="F6" s="79">
        <v>7994</v>
      </c>
    </row>
    <row r="7" spans="1:6">
      <c r="A7" s="57" t="s">
        <v>73</v>
      </c>
      <c r="B7" s="79">
        <v>1803</v>
      </c>
      <c r="C7" s="79">
        <v>3689</v>
      </c>
      <c r="D7" s="79">
        <v>5575</v>
      </c>
      <c r="E7" s="79">
        <v>7461</v>
      </c>
      <c r="F7" s="79">
        <v>9347</v>
      </c>
    </row>
    <row r="8" spans="1:6">
      <c r="A8" s="57" t="s">
        <v>74</v>
      </c>
      <c r="B8" s="79">
        <v>1648</v>
      </c>
      <c r="C8" s="79">
        <v>3911</v>
      </c>
      <c r="D8" s="79">
        <v>6174</v>
      </c>
      <c r="E8" s="79">
        <v>8437</v>
      </c>
      <c r="F8" s="79">
        <v>10700</v>
      </c>
    </row>
    <row r="9" spans="1:6">
      <c r="A9" s="57" t="s">
        <v>121</v>
      </c>
      <c r="B9" s="79">
        <v>1493</v>
      </c>
      <c r="C9" s="79">
        <v>4133</v>
      </c>
      <c r="D9" s="79">
        <v>6773</v>
      </c>
      <c r="E9" s="79">
        <v>9413</v>
      </c>
      <c r="F9" s="79">
        <v>12053</v>
      </c>
    </row>
    <row r="10" spans="1:6">
      <c r="A10" s="57" t="s">
        <v>122</v>
      </c>
      <c r="B10" s="79">
        <v>1338</v>
      </c>
      <c r="C10" s="79">
        <v>4355</v>
      </c>
      <c r="D10" s="79">
        <v>7372</v>
      </c>
      <c r="E10" s="79">
        <v>10389</v>
      </c>
      <c r="F10" s="79">
        <v>13406</v>
      </c>
    </row>
    <row r="12" spans="1:6">
      <c r="A12" s="107" t="s">
        <v>35</v>
      </c>
      <c r="B12" s="107"/>
      <c r="C12" s="107"/>
    </row>
    <row r="13" spans="1:6">
      <c r="A13" s="57" t="s">
        <v>69</v>
      </c>
      <c r="B13" s="80">
        <v>-9029</v>
      </c>
      <c r="C13" s="82">
        <v>-8785</v>
      </c>
      <c r="D13" s="80">
        <v>-8541</v>
      </c>
      <c r="E13" s="82">
        <v>-8297</v>
      </c>
      <c r="F13" s="80">
        <v>-8053</v>
      </c>
    </row>
    <row r="14" spans="1:6">
      <c r="A14" s="57" t="s">
        <v>70</v>
      </c>
      <c r="B14" s="80">
        <v>-8569</v>
      </c>
      <c r="C14" s="80">
        <v>-8082</v>
      </c>
      <c r="D14" s="80">
        <v>-7595</v>
      </c>
      <c r="E14" s="80">
        <v>-7108</v>
      </c>
      <c r="F14" s="80">
        <v>-6621</v>
      </c>
    </row>
    <row r="15" spans="1:6">
      <c r="A15" s="57" t="s">
        <v>71</v>
      </c>
      <c r="B15" s="80">
        <v>-8109</v>
      </c>
      <c r="C15" s="82">
        <v>-7379</v>
      </c>
      <c r="D15" s="80">
        <v>-6649</v>
      </c>
      <c r="E15" s="82">
        <v>-5919</v>
      </c>
      <c r="F15" s="80">
        <v>-5189</v>
      </c>
    </row>
    <row r="16" spans="1:6">
      <c r="A16" s="57" t="s">
        <v>72</v>
      </c>
      <c r="B16" s="80">
        <v>-7649</v>
      </c>
      <c r="C16" s="80">
        <v>-6676</v>
      </c>
      <c r="D16" s="80">
        <v>-5703</v>
      </c>
      <c r="E16" s="80">
        <v>-4730</v>
      </c>
      <c r="F16" s="80">
        <v>-3757</v>
      </c>
    </row>
    <row r="17" spans="1:6">
      <c r="A17" s="57" t="s">
        <v>73</v>
      </c>
      <c r="B17" s="80">
        <v>-7189</v>
      </c>
      <c r="C17" s="82">
        <v>-5973</v>
      </c>
      <c r="D17" s="80">
        <v>-4757</v>
      </c>
      <c r="E17" s="82">
        <v>-3541</v>
      </c>
      <c r="F17" s="80">
        <v>-2325</v>
      </c>
    </row>
    <row r="18" spans="1:6">
      <c r="A18" s="57" t="s">
        <v>74</v>
      </c>
      <c r="B18" s="80">
        <v>-6729</v>
      </c>
      <c r="C18" s="80">
        <v>-5270</v>
      </c>
      <c r="D18" s="80">
        <v>-3811</v>
      </c>
      <c r="E18" s="80">
        <v>-2352</v>
      </c>
      <c r="F18" s="80">
        <v>-893</v>
      </c>
    </row>
    <row r="19" spans="1:6">
      <c r="A19" s="57" t="s">
        <v>121</v>
      </c>
      <c r="B19" s="80">
        <v>-6269</v>
      </c>
      <c r="C19" s="82">
        <v>-4567</v>
      </c>
      <c r="D19" s="80">
        <v>-2865</v>
      </c>
      <c r="E19" s="82">
        <v>-1163</v>
      </c>
      <c r="F19" s="79">
        <v>539</v>
      </c>
    </row>
    <row r="20" spans="1:6">
      <c r="A20" s="57" t="s">
        <v>122</v>
      </c>
      <c r="B20" s="80">
        <v>-5809</v>
      </c>
      <c r="C20" s="80">
        <v>-3864</v>
      </c>
      <c r="D20" s="80">
        <v>-1919</v>
      </c>
      <c r="E20" s="79">
        <v>26</v>
      </c>
      <c r="F20" s="79">
        <v>1971</v>
      </c>
    </row>
    <row r="22" spans="1:6">
      <c r="A22" s="107" t="s">
        <v>36</v>
      </c>
      <c r="B22" s="107"/>
      <c r="C22" s="107"/>
    </row>
    <row r="23" spans="1:6">
      <c r="A23" s="57" t="s">
        <v>69</v>
      </c>
      <c r="B23" s="79">
        <v>123</v>
      </c>
      <c r="C23" s="79">
        <v>287</v>
      </c>
      <c r="D23" s="79">
        <v>451</v>
      </c>
      <c r="E23" s="79">
        <v>615</v>
      </c>
      <c r="F23" s="79">
        <v>779</v>
      </c>
    </row>
    <row r="24" spans="1:6">
      <c r="A24" s="57" t="s">
        <v>70</v>
      </c>
      <c r="B24" s="79">
        <v>321</v>
      </c>
      <c r="C24" s="79">
        <v>649</v>
      </c>
      <c r="D24" s="79">
        <v>977</v>
      </c>
      <c r="E24" s="79">
        <v>1305</v>
      </c>
      <c r="F24" s="79">
        <v>1633</v>
      </c>
    </row>
    <row r="25" spans="1:6">
      <c r="A25" s="57" t="s">
        <v>71</v>
      </c>
      <c r="B25" s="79">
        <v>519</v>
      </c>
      <c r="C25" s="79">
        <v>1011</v>
      </c>
      <c r="D25" s="79">
        <v>1503</v>
      </c>
      <c r="E25" s="79">
        <v>1995</v>
      </c>
      <c r="F25" s="79">
        <v>2487</v>
      </c>
    </row>
    <row r="26" spans="1:6">
      <c r="A26" s="57" t="s">
        <v>72</v>
      </c>
      <c r="B26" s="79">
        <v>717</v>
      </c>
      <c r="C26" s="79">
        <v>1373</v>
      </c>
      <c r="D26" s="79">
        <v>2029</v>
      </c>
      <c r="E26" s="79">
        <v>2685</v>
      </c>
      <c r="F26" s="79">
        <v>3341</v>
      </c>
    </row>
    <row r="27" spans="1:6">
      <c r="A27" s="57" t="s">
        <v>73</v>
      </c>
      <c r="B27" s="79">
        <v>915</v>
      </c>
      <c r="C27" s="79">
        <v>1735</v>
      </c>
      <c r="D27" s="79">
        <v>2555</v>
      </c>
      <c r="E27" s="79">
        <v>3375</v>
      </c>
      <c r="F27" s="79">
        <v>4195</v>
      </c>
    </row>
    <row r="28" spans="1:6">
      <c r="A28" s="57" t="s">
        <v>74</v>
      </c>
      <c r="B28" s="79">
        <v>1113</v>
      </c>
      <c r="C28" s="79">
        <v>2097</v>
      </c>
      <c r="D28" s="79">
        <v>3081</v>
      </c>
      <c r="E28" s="79">
        <v>4065</v>
      </c>
      <c r="F28" s="79">
        <v>5049</v>
      </c>
    </row>
    <row r="29" spans="1:6">
      <c r="A29" s="57" t="s">
        <v>121</v>
      </c>
      <c r="B29" s="79">
        <v>1311</v>
      </c>
      <c r="C29" s="79">
        <v>2459</v>
      </c>
      <c r="D29" s="79">
        <v>3607</v>
      </c>
      <c r="E29" s="79">
        <v>4755</v>
      </c>
      <c r="F29" s="79">
        <v>5903</v>
      </c>
    </row>
    <row r="30" spans="1:6">
      <c r="A30" s="57" t="s">
        <v>122</v>
      </c>
      <c r="B30" s="79">
        <v>1509</v>
      </c>
      <c r="C30" s="79">
        <v>2821</v>
      </c>
      <c r="D30" s="79">
        <v>4133</v>
      </c>
      <c r="E30" s="79">
        <v>5445</v>
      </c>
      <c r="F30" s="79">
        <v>6757</v>
      </c>
    </row>
    <row r="31" spans="1:6">
      <c r="A31" s="57"/>
      <c r="B31" s="9"/>
      <c r="C31" s="9"/>
      <c r="D31" s="9"/>
      <c r="E31" s="9"/>
      <c r="F31" s="9"/>
    </row>
    <row r="32" spans="1:6">
      <c r="A32" s="107" t="s">
        <v>67</v>
      </c>
      <c r="B32" s="107"/>
      <c r="C32" s="107"/>
      <c r="D32" s="107"/>
      <c r="E32" s="107"/>
    </row>
    <row r="33" spans="1:6">
      <c r="A33" s="57" t="s">
        <v>69</v>
      </c>
      <c r="B33" s="80">
        <v>-22</v>
      </c>
      <c r="C33" s="79">
        <v>298</v>
      </c>
      <c r="D33" s="79">
        <v>618</v>
      </c>
      <c r="E33" s="79">
        <v>938</v>
      </c>
      <c r="F33" s="79">
        <v>1258</v>
      </c>
    </row>
    <row r="34" spans="1:6">
      <c r="A34" s="57" t="s">
        <v>70</v>
      </c>
      <c r="B34" s="79">
        <v>794</v>
      </c>
      <c r="C34" s="79">
        <v>1434</v>
      </c>
      <c r="D34" s="79">
        <v>2074</v>
      </c>
      <c r="E34" s="79">
        <v>2714</v>
      </c>
      <c r="F34" s="79">
        <v>3354</v>
      </c>
    </row>
    <row r="35" spans="1:6">
      <c r="A35" s="57" t="s">
        <v>71</v>
      </c>
      <c r="B35" s="79">
        <v>1610</v>
      </c>
      <c r="C35" s="79">
        <v>2570</v>
      </c>
      <c r="D35" s="79">
        <v>3530</v>
      </c>
      <c r="E35" s="79">
        <v>4490</v>
      </c>
      <c r="F35" s="79">
        <v>5450</v>
      </c>
    </row>
    <row r="36" spans="1:6">
      <c r="A36" s="57" t="s">
        <v>72</v>
      </c>
      <c r="B36" s="79">
        <v>2426</v>
      </c>
      <c r="C36" s="79">
        <v>3706</v>
      </c>
      <c r="D36" s="79">
        <v>4986</v>
      </c>
      <c r="E36" s="79">
        <v>6266</v>
      </c>
      <c r="F36" s="79">
        <v>7546</v>
      </c>
    </row>
    <row r="37" spans="1:6">
      <c r="A37" s="57" t="s">
        <v>73</v>
      </c>
      <c r="B37" s="79">
        <v>3242</v>
      </c>
      <c r="C37" s="79">
        <v>4842</v>
      </c>
      <c r="D37" s="79">
        <v>6442</v>
      </c>
      <c r="E37" s="79">
        <v>8042</v>
      </c>
      <c r="F37" s="79">
        <v>9642</v>
      </c>
    </row>
    <row r="38" spans="1:6">
      <c r="A38" s="57" t="s">
        <v>74</v>
      </c>
      <c r="B38" s="79">
        <v>4058</v>
      </c>
      <c r="C38" s="79">
        <v>5978</v>
      </c>
      <c r="D38" s="79">
        <v>7898</v>
      </c>
      <c r="E38" s="79">
        <v>9818</v>
      </c>
      <c r="F38" s="79">
        <v>11738</v>
      </c>
    </row>
    <row r="39" spans="1:6">
      <c r="A39" s="57" t="s">
        <v>121</v>
      </c>
      <c r="B39" s="79">
        <v>4874</v>
      </c>
      <c r="C39" s="79">
        <v>7114</v>
      </c>
      <c r="D39" s="79">
        <v>9354</v>
      </c>
      <c r="E39" s="79">
        <v>11594</v>
      </c>
      <c r="F39" s="79">
        <v>13834</v>
      </c>
    </row>
    <row r="40" spans="1:6">
      <c r="A40" s="57" t="s">
        <v>122</v>
      </c>
      <c r="B40" s="79">
        <v>5690</v>
      </c>
      <c r="C40" s="79">
        <v>8250</v>
      </c>
      <c r="D40" s="79">
        <v>10810</v>
      </c>
      <c r="E40" s="79">
        <v>13370</v>
      </c>
      <c r="F40" s="79">
        <v>15930</v>
      </c>
    </row>
    <row r="41" spans="1:6">
      <c r="A41" s="57"/>
      <c r="B41" s="9"/>
      <c r="C41" s="9"/>
      <c r="D41" s="9"/>
      <c r="E41" s="9"/>
      <c r="F41" s="9"/>
    </row>
    <row r="42" spans="1:6">
      <c r="A42" s="108" t="s">
        <v>180</v>
      </c>
      <c r="B42" s="108"/>
      <c r="C42" s="108"/>
      <c r="D42" s="108"/>
      <c r="E42" s="9"/>
      <c r="F42" s="9"/>
    </row>
    <row r="43" spans="1:6">
      <c r="A43" s="57" t="s">
        <v>69</v>
      </c>
      <c r="B43" s="79">
        <v>3125</v>
      </c>
      <c r="C43" s="79">
        <v>3546</v>
      </c>
      <c r="D43" s="79">
        <v>3967</v>
      </c>
      <c r="E43" s="79">
        <v>4388</v>
      </c>
      <c r="F43" s="79">
        <v>4809</v>
      </c>
    </row>
    <row r="44" spans="1:6">
      <c r="A44" s="57" t="s">
        <v>70</v>
      </c>
      <c r="B44" s="79">
        <v>4411</v>
      </c>
      <c r="C44" s="79">
        <v>5252</v>
      </c>
      <c r="D44" s="79">
        <v>6093</v>
      </c>
      <c r="E44" s="79">
        <v>6934</v>
      </c>
      <c r="F44" s="79">
        <v>7775</v>
      </c>
    </row>
    <row r="45" spans="1:6">
      <c r="A45" s="57" t="s">
        <v>71</v>
      </c>
      <c r="B45" s="79">
        <v>5697</v>
      </c>
      <c r="C45" s="79">
        <v>6958</v>
      </c>
      <c r="D45" s="79">
        <v>8219</v>
      </c>
      <c r="E45" s="79">
        <v>9480</v>
      </c>
      <c r="F45" s="79">
        <v>10741</v>
      </c>
    </row>
    <row r="46" spans="1:6">
      <c r="A46" s="57" t="s">
        <v>72</v>
      </c>
      <c r="B46" s="79">
        <v>6983</v>
      </c>
      <c r="C46" s="79">
        <v>8664</v>
      </c>
      <c r="D46" s="79">
        <v>10345</v>
      </c>
      <c r="E46" s="79">
        <v>12026</v>
      </c>
      <c r="F46" s="79">
        <v>13707</v>
      </c>
    </row>
    <row r="47" spans="1:6">
      <c r="A47" s="57" t="s">
        <v>73</v>
      </c>
      <c r="B47" s="79">
        <v>8269</v>
      </c>
      <c r="C47" s="79">
        <v>10370</v>
      </c>
      <c r="D47" s="79">
        <v>12471</v>
      </c>
      <c r="E47" s="79">
        <v>14572</v>
      </c>
      <c r="F47" s="79">
        <v>16673</v>
      </c>
    </row>
    <row r="48" spans="1:6">
      <c r="A48" s="57" t="s">
        <v>74</v>
      </c>
      <c r="B48" s="79">
        <v>9555</v>
      </c>
      <c r="C48" s="79">
        <v>12076</v>
      </c>
      <c r="D48" s="79">
        <v>14597</v>
      </c>
      <c r="E48" s="79">
        <v>17118</v>
      </c>
      <c r="F48" s="79">
        <v>19639</v>
      </c>
    </row>
    <row r="49" spans="1:13">
      <c r="A49" s="57" t="s">
        <v>121</v>
      </c>
      <c r="B49" s="79">
        <v>10841</v>
      </c>
      <c r="C49" s="79">
        <v>13782</v>
      </c>
      <c r="D49" s="79">
        <v>16723</v>
      </c>
      <c r="E49" s="79">
        <v>19664</v>
      </c>
      <c r="F49" s="79">
        <v>22605</v>
      </c>
    </row>
    <row r="50" spans="1:13">
      <c r="A50" s="57" t="s">
        <v>122</v>
      </c>
      <c r="B50" s="79">
        <v>12127</v>
      </c>
      <c r="C50" s="79">
        <v>15488</v>
      </c>
      <c r="D50" s="79">
        <v>18849</v>
      </c>
      <c r="E50" s="79">
        <v>22210</v>
      </c>
      <c r="F50" s="79">
        <v>25571</v>
      </c>
    </row>
    <row r="51" spans="1:13">
      <c r="A51" s="89"/>
      <c r="B51" s="85"/>
      <c r="C51" s="85"/>
      <c r="D51" s="85"/>
      <c r="E51" s="85"/>
      <c r="F51" s="85"/>
    </row>
    <row r="54" spans="1:13">
      <c r="A54" s="107" t="s">
        <v>232</v>
      </c>
      <c r="B54" s="107"/>
      <c r="C54" s="107"/>
      <c r="D54" s="107"/>
      <c r="E54" s="107"/>
      <c r="G54" s="108" t="s">
        <v>226</v>
      </c>
      <c r="H54" s="108"/>
      <c r="I54" s="108"/>
      <c r="J54" s="108"/>
      <c r="K54" s="108"/>
      <c r="L54" s="108"/>
      <c r="M54" s="108"/>
    </row>
    <row r="55" spans="1:13">
      <c r="A55" s="89" t="s">
        <v>143</v>
      </c>
      <c r="B55" s="89" t="s">
        <v>50</v>
      </c>
      <c r="C55" s="89" t="s">
        <v>29</v>
      </c>
      <c r="D55" s="89" t="s">
        <v>135</v>
      </c>
      <c r="E55" s="89" t="s">
        <v>31</v>
      </c>
      <c r="F55" s="89" t="s">
        <v>32</v>
      </c>
      <c r="G55" s="89" t="s">
        <v>224</v>
      </c>
      <c r="H55" s="89"/>
      <c r="I55" s="89"/>
      <c r="J55" s="89"/>
    </row>
    <row r="56" spans="1:13">
      <c r="A56" s="89" t="s">
        <v>69</v>
      </c>
      <c r="B56" s="85">
        <f t="shared" ref="B56:B63" si="0">B3*$H56</f>
        <v>2352.4271844660193</v>
      </c>
      <c r="C56" s="85">
        <f t="shared" ref="C56:F56" si="1">C3*$H56</f>
        <v>2719.4174757281553</v>
      </c>
      <c r="D56" s="85">
        <f t="shared" si="1"/>
        <v>3086.4077669902913</v>
      </c>
      <c r="E56" s="85">
        <f t="shared" si="1"/>
        <v>3453.3980582524273</v>
      </c>
      <c r="F56" s="85">
        <f t="shared" si="1"/>
        <v>3820.3883495145633</v>
      </c>
      <c r="G56" s="89">
        <v>1</v>
      </c>
      <c r="H56">
        <f>1/(1+0.03)</f>
        <v>0.970873786407767</v>
      </c>
      <c r="J56" s="89"/>
    </row>
    <row r="57" spans="1:13">
      <c r="A57" s="89" t="s">
        <v>70</v>
      </c>
      <c r="B57" s="85">
        <f t="shared" si="0"/>
        <v>2137.8075219153548</v>
      </c>
      <c r="C57" s="85">
        <f t="shared" ref="C57:F63" si="2">C4*$H57</f>
        <v>2849.4674333113394</v>
      </c>
      <c r="D57" s="85">
        <f t="shared" si="2"/>
        <v>3561.127344707324</v>
      </c>
      <c r="E57" s="85">
        <f t="shared" si="2"/>
        <v>4272.7872561033082</v>
      </c>
      <c r="F57" s="85">
        <f t="shared" si="2"/>
        <v>4984.4471674992928</v>
      </c>
      <c r="G57" s="89">
        <v>2</v>
      </c>
      <c r="H57">
        <f>1/(1+0.03)^2</f>
        <v>0.94259590913375435</v>
      </c>
      <c r="J57" s="89"/>
    </row>
    <row r="58" spans="1:13">
      <c r="A58" s="89" t="s">
        <v>71</v>
      </c>
      <c r="B58" s="85">
        <f t="shared" si="0"/>
        <v>1933.6943262132263</v>
      </c>
      <c r="C58" s="85">
        <f t="shared" si="2"/>
        <v>2969.6346846010028</v>
      </c>
      <c r="D58" s="85">
        <f t="shared" si="2"/>
        <v>4005.5750429887794</v>
      </c>
      <c r="E58" s="85">
        <f t="shared" si="2"/>
        <v>5041.5154013765559</v>
      </c>
      <c r="F58" s="85">
        <f t="shared" si="2"/>
        <v>6077.4557597643334</v>
      </c>
      <c r="G58" s="89">
        <v>3</v>
      </c>
      <c r="H58">
        <f>1/(1+0.03)^3</f>
        <v>0.91514165935315961</v>
      </c>
      <c r="J58" s="89"/>
    </row>
    <row r="59" spans="1:13">
      <c r="A59" s="89" t="s">
        <v>72</v>
      </c>
      <c r="B59" s="85">
        <f t="shared" si="0"/>
        <v>1739.6576398189191</v>
      </c>
      <c r="C59" s="85">
        <f t="shared" si="2"/>
        <v>3080.3845951236935</v>
      </c>
      <c r="D59" s="85">
        <f t="shared" si="2"/>
        <v>4421.111550428468</v>
      </c>
      <c r="E59" s="85">
        <f t="shared" si="2"/>
        <v>5761.8385057332434</v>
      </c>
      <c r="F59" s="85">
        <f t="shared" si="2"/>
        <v>7102.5654610380179</v>
      </c>
      <c r="G59" s="89">
        <v>4</v>
      </c>
      <c r="H59">
        <f>1/(1+0.03)^4</f>
        <v>0.888487047915689</v>
      </c>
      <c r="J59" s="89"/>
    </row>
    <row r="60" spans="1:13">
      <c r="A60" s="89" t="s">
        <v>73</v>
      </c>
      <c r="B60" s="85">
        <f t="shared" si="0"/>
        <v>1555.2836382446478</v>
      </c>
      <c r="C60" s="85">
        <f t="shared" si="2"/>
        <v>3182.1638055931812</v>
      </c>
      <c r="D60" s="85">
        <f t="shared" si="2"/>
        <v>4809.0439729417149</v>
      </c>
      <c r="E60" s="85">
        <f t="shared" si="2"/>
        <v>6435.924140290248</v>
      </c>
      <c r="F60" s="85">
        <f t="shared" si="2"/>
        <v>8062.8043076387821</v>
      </c>
      <c r="G60" s="89">
        <v>5</v>
      </c>
      <c r="H60">
        <f>1/(1+0.03)^5</f>
        <v>0.86260878438416411</v>
      </c>
      <c r="J60" s="91"/>
    </row>
    <row r="61" spans="1:13">
      <c r="A61" s="89" t="s">
        <v>74</v>
      </c>
      <c r="B61" s="85">
        <f t="shared" si="0"/>
        <v>1380.1740550146626</v>
      </c>
      <c r="C61" s="85">
        <f t="shared" si="2"/>
        <v>3275.4009278897724</v>
      </c>
      <c r="D61" s="85">
        <f t="shared" si="2"/>
        <v>5170.6278007648825</v>
      </c>
      <c r="E61" s="85">
        <f t="shared" si="2"/>
        <v>7065.8546736399921</v>
      </c>
      <c r="F61" s="85">
        <f t="shared" si="2"/>
        <v>8961.0815465151027</v>
      </c>
      <c r="G61" s="89">
        <v>6</v>
      </c>
      <c r="H61">
        <f>1/(1+0.03)^6</f>
        <v>0.83748425668365445</v>
      </c>
      <c r="J61" s="91"/>
    </row>
    <row r="62" spans="1:13">
      <c r="A62" s="89" t="s">
        <v>121</v>
      </c>
      <c r="B62" s="85">
        <f t="shared" si="0"/>
        <v>1213.9456264356272</v>
      </c>
      <c r="C62" s="85">
        <f t="shared" si="2"/>
        <v>3360.507216382081</v>
      </c>
      <c r="D62" s="85">
        <f t="shared" si="2"/>
        <v>5507.0688063285352</v>
      </c>
      <c r="E62" s="85">
        <f t="shared" si="2"/>
        <v>7653.6303962749889</v>
      </c>
      <c r="F62" s="85">
        <f t="shared" si="2"/>
        <v>9800.1919862214436</v>
      </c>
      <c r="G62" s="89">
        <v>7</v>
      </c>
      <c r="H62">
        <f>1/(1+0.03)^7</f>
        <v>0.81309151134335378</v>
      </c>
      <c r="J62" s="91"/>
    </row>
    <row r="63" spans="1:13">
      <c r="A63" s="89" t="s">
        <v>145</v>
      </c>
      <c r="B63" s="85">
        <f t="shared" si="0"/>
        <v>1056.2295555120461</v>
      </c>
      <c r="C63" s="85">
        <f t="shared" si="2"/>
        <v>3437.87721543719</v>
      </c>
      <c r="D63" s="85">
        <f t="shared" si="2"/>
        <v>5819.5248753623346</v>
      </c>
      <c r="E63" s="85">
        <f t="shared" si="2"/>
        <v>8201.1725352874782</v>
      </c>
      <c r="F63" s="85">
        <f t="shared" si="2"/>
        <v>10582.820195212622</v>
      </c>
      <c r="G63" s="89">
        <v>8</v>
      </c>
      <c r="H63">
        <f>1/(1+0.03)^8</f>
        <v>0.78940923431393573</v>
      </c>
      <c r="J63" s="91"/>
    </row>
    <row r="65" spans="1:6">
      <c r="A65" s="107" t="s">
        <v>233</v>
      </c>
      <c r="B65" s="107"/>
      <c r="C65" s="107"/>
      <c r="D65" s="107"/>
      <c r="E65" s="107"/>
    </row>
    <row r="66" spans="1:6">
      <c r="A66" s="89" t="s">
        <v>69</v>
      </c>
      <c r="B66" s="94">
        <v>-8766</v>
      </c>
      <c r="C66" s="94">
        <v>-8529</v>
      </c>
      <c r="D66" s="94">
        <v>-8292</v>
      </c>
      <c r="E66" s="94">
        <v>-8055</v>
      </c>
      <c r="F66" s="94">
        <v>-7818</v>
      </c>
    </row>
    <row r="67" spans="1:6">
      <c r="A67" s="89" t="s">
        <v>70</v>
      </c>
      <c r="B67" s="94">
        <v>-8077</v>
      </c>
      <c r="C67" s="94">
        <v>-7618</v>
      </c>
      <c r="D67" s="94">
        <v>-7159</v>
      </c>
      <c r="E67" s="94">
        <v>-6700</v>
      </c>
      <c r="F67" s="94">
        <v>-6241</v>
      </c>
    </row>
    <row r="68" spans="1:6">
      <c r="A68" s="89" t="s">
        <v>71</v>
      </c>
      <c r="B68" s="94">
        <v>-7421</v>
      </c>
      <c r="C68" s="94">
        <v>-6753</v>
      </c>
      <c r="D68" s="94">
        <v>-6085</v>
      </c>
      <c r="E68" s="94">
        <v>-5417</v>
      </c>
      <c r="F68" s="94">
        <v>-4749</v>
      </c>
    </row>
    <row r="69" spans="1:6">
      <c r="A69" s="89" t="s">
        <v>72</v>
      </c>
      <c r="B69" s="94">
        <v>-6796</v>
      </c>
      <c r="C69" s="94">
        <v>-5932</v>
      </c>
      <c r="D69" s="94">
        <v>-5067</v>
      </c>
      <c r="E69" s="94">
        <v>-4203</v>
      </c>
      <c r="F69" s="94">
        <v>-3338</v>
      </c>
    </row>
    <row r="70" spans="1:6">
      <c r="A70" s="89" t="s">
        <v>73</v>
      </c>
      <c r="B70" s="94">
        <v>-6201</v>
      </c>
      <c r="C70" s="94">
        <v>-5152</v>
      </c>
      <c r="D70" s="94">
        <v>-4103</v>
      </c>
      <c r="E70" s="94">
        <v>-3054</v>
      </c>
      <c r="F70" s="94">
        <v>-2006</v>
      </c>
    </row>
    <row r="71" spans="1:6">
      <c r="A71" s="89" t="s">
        <v>74</v>
      </c>
      <c r="B71" s="94">
        <v>-5635</v>
      </c>
      <c r="C71" s="94">
        <v>-4414</v>
      </c>
      <c r="D71" s="94">
        <v>-3192</v>
      </c>
      <c r="E71" s="94">
        <v>-1970</v>
      </c>
      <c r="F71" s="94">
        <v>-748</v>
      </c>
    </row>
    <row r="72" spans="1:6">
      <c r="A72" s="89" t="s">
        <v>121</v>
      </c>
      <c r="B72" s="94">
        <v>-5097</v>
      </c>
      <c r="C72" s="94">
        <v>-3713</v>
      </c>
      <c r="D72" s="94">
        <v>-2330</v>
      </c>
      <c r="E72" s="94">
        <v>-946</v>
      </c>
      <c r="F72" s="92">
        <v>348</v>
      </c>
    </row>
    <row r="73" spans="1:6">
      <c r="A73" s="89" t="s">
        <v>122</v>
      </c>
      <c r="B73" s="94">
        <v>-4586</v>
      </c>
      <c r="C73" s="94">
        <v>-3050</v>
      </c>
      <c r="D73" s="94">
        <v>-1515</v>
      </c>
      <c r="E73" s="92">
        <v>21</v>
      </c>
      <c r="F73" s="92">
        <v>1556</v>
      </c>
    </row>
    <row r="75" spans="1:6">
      <c r="A75" s="107" t="s">
        <v>234</v>
      </c>
      <c r="B75" s="107"/>
      <c r="C75" s="107"/>
      <c r="D75" s="107"/>
      <c r="E75" s="107"/>
    </row>
    <row r="76" spans="1:6">
      <c r="A76" s="89" t="s">
        <v>69</v>
      </c>
      <c r="B76" s="85">
        <f>B23*$H56</f>
        <v>119.41747572815534</v>
      </c>
      <c r="C76" s="85">
        <f t="shared" ref="C76:F76" si="3">C23*$H56</f>
        <v>278.64077669902912</v>
      </c>
      <c r="D76" s="85">
        <f t="shared" si="3"/>
        <v>437.86407766990294</v>
      </c>
      <c r="E76" s="85">
        <f t="shared" si="3"/>
        <v>597.08737864077671</v>
      </c>
      <c r="F76" s="85">
        <f t="shared" si="3"/>
        <v>756.31067961165047</v>
      </c>
    </row>
    <row r="77" spans="1:6">
      <c r="A77" s="89" t="s">
        <v>70</v>
      </c>
      <c r="B77" s="85">
        <f t="shared" ref="B77:F83" si="4">B24*$H57</f>
        <v>302.57328683193515</v>
      </c>
      <c r="C77" s="85">
        <f t="shared" si="4"/>
        <v>611.74474502780663</v>
      </c>
      <c r="D77" s="85">
        <f t="shared" si="4"/>
        <v>920.91620322367805</v>
      </c>
      <c r="E77" s="85">
        <f t="shared" si="4"/>
        <v>1230.0876614195495</v>
      </c>
      <c r="F77" s="85">
        <f t="shared" si="4"/>
        <v>1539.2591196154208</v>
      </c>
    </row>
    <row r="78" spans="1:6">
      <c r="A78" s="89" t="s">
        <v>71</v>
      </c>
      <c r="B78" s="85">
        <f t="shared" si="4"/>
        <v>474.95852120428981</v>
      </c>
      <c r="C78" s="85">
        <f t="shared" si="4"/>
        <v>925.2082176060444</v>
      </c>
      <c r="D78" s="85">
        <f t="shared" si="4"/>
        <v>1375.457914007799</v>
      </c>
      <c r="E78" s="85">
        <f t="shared" si="4"/>
        <v>1825.7076104095534</v>
      </c>
      <c r="F78" s="85">
        <f t="shared" si="4"/>
        <v>2275.9573068113082</v>
      </c>
    </row>
    <row r="79" spans="1:6">
      <c r="A79" s="89" t="s">
        <v>72</v>
      </c>
      <c r="B79" s="85">
        <f t="shared" si="4"/>
        <v>637.04521335554898</v>
      </c>
      <c r="C79" s="85">
        <f t="shared" si="4"/>
        <v>1219.8927167882409</v>
      </c>
      <c r="D79" s="85">
        <f t="shared" si="4"/>
        <v>1802.740220220933</v>
      </c>
      <c r="E79" s="85">
        <f t="shared" si="4"/>
        <v>2385.5877236536248</v>
      </c>
      <c r="F79" s="85">
        <f t="shared" si="4"/>
        <v>2968.4352270863169</v>
      </c>
    </row>
    <row r="80" spans="1:6">
      <c r="A80" s="89" t="s">
        <v>73</v>
      </c>
      <c r="B80" s="85">
        <f t="shared" si="4"/>
        <v>789.28703771151015</v>
      </c>
      <c r="C80" s="85">
        <f t="shared" si="4"/>
        <v>1496.6262409065248</v>
      </c>
      <c r="D80" s="85">
        <f t="shared" si="4"/>
        <v>2203.9654441015391</v>
      </c>
      <c r="E80" s="85">
        <f t="shared" si="4"/>
        <v>2911.3046472965539</v>
      </c>
      <c r="F80" s="85">
        <f t="shared" si="4"/>
        <v>3618.6438504915686</v>
      </c>
    </row>
    <row r="81" spans="1:6">
      <c r="A81" s="89" t="s">
        <v>74</v>
      </c>
      <c r="B81" s="85">
        <f t="shared" si="4"/>
        <v>932.1199776889074</v>
      </c>
      <c r="C81" s="85">
        <f t="shared" si="4"/>
        <v>1756.2044862656235</v>
      </c>
      <c r="D81" s="85">
        <f t="shared" si="4"/>
        <v>2580.2889948423394</v>
      </c>
      <c r="E81" s="85">
        <f t="shared" si="4"/>
        <v>3404.3735034190554</v>
      </c>
      <c r="F81" s="85">
        <f t="shared" si="4"/>
        <v>4228.4580119957709</v>
      </c>
    </row>
    <row r="82" spans="1:6">
      <c r="A82" s="89" t="s">
        <v>121</v>
      </c>
      <c r="B82" s="85">
        <f t="shared" si="4"/>
        <v>1065.9629713711367</v>
      </c>
      <c r="C82" s="85">
        <f t="shared" si="4"/>
        <v>1999.3920263933069</v>
      </c>
      <c r="D82" s="85">
        <f t="shared" si="4"/>
        <v>2932.8210814154772</v>
      </c>
      <c r="E82" s="85">
        <f t="shared" si="4"/>
        <v>3866.2501364376471</v>
      </c>
      <c r="F82" s="85">
        <f t="shared" si="4"/>
        <v>4799.679191459817</v>
      </c>
    </row>
    <row r="83" spans="1:6">
      <c r="A83" s="89" t="s">
        <v>122</v>
      </c>
      <c r="B83" s="85">
        <f t="shared" si="4"/>
        <v>1191.2185345797291</v>
      </c>
      <c r="C83" s="85">
        <f t="shared" si="4"/>
        <v>2226.9234499996128</v>
      </c>
      <c r="D83" s="85">
        <f t="shared" si="4"/>
        <v>3262.6283654194963</v>
      </c>
      <c r="E83" s="85">
        <f t="shared" si="4"/>
        <v>4298.3332808393798</v>
      </c>
      <c r="F83" s="85">
        <f t="shared" si="4"/>
        <v>5334.0381962592637</v>
      </c>
    </row>
    <row r="84" spans="1:6">
      <c r="A84" s="89"/>
      <c r="B84" s="9"/>
      <c r="C84" s="9"/>
      <c r="D84" s="9"/>
      <c r="E84" s="9"/>
      <c r="F84" s="9"/>
    </row>
    <row r="85" spans="1:6">
      <c r="A85" s="107" t="s">
        <v>176</v>
      </c>
      <c r="B85" s="107"/>
      <c r="C85" s="107"/>
      <c r="D85" s="107"/>
      <c r="E85" s="107"/>
      <c r="F85" s="107"/>
    </row>
    <row r="86" spans="1:6">
      <c r="A86" s="89" t="s">
        <v>69</v>
      </c>
      <c r="B86" s="92">
        <v>-21</v>
      </c>
      <c r="C86" s="85">
        <f t="shared" ref="C86:F86" si="5">C33*$H56</f>
        <v>289.32038834951459</v>
      </c>
      <c r="D86" s="85">
        <f t="shared" si="5"/>
        <v>600</v>
      </c>
      <c r="E86" s="85">
        <f t="shared" si="5"/>
        <v>910.67961165048541</v>
      </c>
      <c r="F86" s="85">
        <f t="shared" si="5"/>
        <v>1221.3592233009708</v>
      </c>
    </row>
    <row r="87" spans="1:6">
      <c r="A87" s="89" t="s">
        <v>70</v>
      </c>
      <c r="B87" s="85">
        <f t="shared" ref="B87:F93" si="6">B34*$H57</f>
        <v>748.42115185220098</v>
      </c>
      <c r="C87" s="85">
        <f t="shared" si="6"/>
        <v>1351.6825336978038</v>
      </c>
      <c r="D87" s="85">
        <f t="shared" si="6"/>
        <v>1954.9439155434065</v>
      </c>
      <c r="E87" s="85">
        <f t="shared" si="6"/>
        <v>2558.2052973890095</v>
      </c>
      <c r="F87" s="85">
        <f t="shared" si="6"/>
        <v>3161.466679234612</v>
      </c>
    </row>
    <row r="88" spans="1:6">
      <c r="A88" s="89" t="s">
        <v>71</v>
      </c>
      <c r="B88" s="85">
        <f t="shared" si="6"/>
        <v>1473.378071558587</v>
      </c>
      <c r="C88" s="85">
        <f t="shared" si="6"/>
        <v>2351.9140645376201</v>
      </c>
      <c r="D88" s="85">
        <f t="shared" si="6"/>
        <v>3230.4500575166535</v>
      </c>
      <c r="E88" s="85">
        <f t="shared" si="6"/>
        <v>4108.9860504956869</v>
      </c>
      <c r="F88" s="85">
        <f t="shared" si="6"/>
        <v>4987.5220434747198</v>
      </c>
    </row>
    <row r="89" spans="1:6">
      <c r="A89" s="89" t="s">
        <v>72</v>
      </c>
      <c r="B89" s="85">
        <f t="shared" si="6"/>
        <v>2155.4695782434615</v>
      </c>
      <c r="C89" s="85">
        <f t="shared" si="6"/>
        <v>3292.7329995755435</v>
      </c>
      <c r="D89" s="85">
        <f t="shared" si="6"/>
        <v>4429.9964209076252</v>
      </c>
      <c r="E89" s="85">
        <f t="shared" si="6"/>
        <v>5567.2598422397068</v>
      </c>
      <c r="F89" s="85">
        <f t="shared" si="6"/>
        <v>6704.5232635717894</v>
      </c>
    </row>
    <row r="90" spans="1:6">
      <c r="A90" s="89" t="s">
        <v>73</v>
      </c>
      <c r="B90" s="85">
        <f t="shared" si="6"/>
        <v>2796.57767897346</v>
      </c>
      <c r="C90" s="85">
        <f t="shared" si="6"/>
        <v>4176.7517339881224</v>
      </c>
      <c r="D90" s="85">
        <f t="shared" si="6"/>
        <v>5556.9257890027848</v>
      </c>
      <c r="E90" s="85">
        <f t="shared" si="6"/>
        <v>6937.099844017448</v>
      </c>
      <c r="F90" s="85">
        <f t="shared" si="6"/>
        <v>8317.2738990321104</v>
      </c>
    </row>
    <row r="91" spans="1:6">
      <c r="A91" s="89" t="s">
        <v>74</v>
      </c>
      <c r="B91" s="85">
        <f t="shared" si="6"/>
        <v>3398.5111136222699</v>
      </c>
      <c r="C91" s="85">
        <f t="shared" si="6"/>
        <v>5006.4808864548859</v>
      </c>
      <c r="D91" s="85">
        <f t="shared" si="6"/>
        <v>6614.4506592875032</v>
      </c>
      <c r="E91" s="85">
        <f t="shared" si="6"/>
        <v>8222.4204321201196</v>
      </c>
      <c r="F91" s="85">
        <f t="shared" si="6"/>
        <v>9830.3902049527351</v>
      </c>
    </row>
    <row r="92" spans="1:6">
      <c r="A92" s="89" t="s">
        <v>121</v>
      </c>
      <c r="B92" s="85">
        <f t="shared" si="6"/>
        <v>3963.0080262875063</v>
      </c>
      <c r="C92" s="85">
        <f t="shared" si="6"/>
        <v>5784.333011696619</v>
      </c>
      <c r="D92" s="85">
        <f t="shared" si="6"/>
        <v>7605.6579971057308</v>
      </c>
      <c r="E92" s="85">
        <f t="shared" si="6"/>
        <v>9426.9829825148445</v>
      </c>
      <c r="F92" s="85">
        <f t="shared" si="6"/>
        <v>11248.307967923956</v>
      </c>
    </row>
    <row r="93" spans="1:6">
      <c r="A93" s="89" t="s">
        <v>122</v>
      </c>
      <c r="B93" s="85">
        <f t="shared" si="6"/>
        <v>4491.7385432462943</v>
      </c>
      <c r="C93" s="85">
        <f t="shared" si="6"/>
        <v>6512.6261830899693</v>
      </c>
      <c r="D93" s="85">
        <f t="shared" si="6"/>
        <v>8533.5138229336444</v>
      </c>
      <c r="E93" s="85">
        <f t="shared" si="6"/>
        <v>10554.401462777321</v>
      </c>
      <c r="F93" s="85">
        <f t="shared" si="6"/>
        <v>12575.289102620996</v>
      </c>
    </row>
    <row r="94" spans="1:6">
      <c r="A94" s="89"/>
      <c r="B94" s="9"/>
      <c r="C94" s="9"/>
      <c r="D94" s="9"/>
      <c r="E94" s="9"/>
      <c r="F94" s="9"/>
    </row>
    <row r="95" spans="1:6">
      <c r="A95" s="108" t="s">
        <v>235</v>
      </c>
      <c r="B95" s="108"/>
      <c r="C95" s="108"/>
      <c r="D95" s="108"/>
      <c r="E95" s="107"/>
      <c r="F95" s="107"/>
    </row>
    <row r="96" spans="1:6">
      <c r="A96" s="89" t="s">
        <v>69</v>
      </c>
      <c r="B96" s="85">
        <f>B43*$H56</f>
        <v>3033.980582524272</v>
      </c>
      <c r="C96" s="85">
        <f t="shared" ref="C96:F96" si="7">C43*$H56</f>
        <v>3442.7184466019417</v>
      </c>
      <c r="D96" s="85">
        <f t="shared" si="7"/>
        <v>3851.4563106796118</v>
      </c>
      <c r="E96" s="85">
        <f t="shared" si="7"/>
        <v>4260.1941747572819</v>
      </c>
      <c r="F96" s="85">
        <f t="shared" si="7"/>
        <v>4668.9320388349515</v>
      </c>
    </row>
    <row r="97" spans="1:6">
      <c r="A97" s="89" t="s">
        <v>70</v>
      </c>
      <c r="B97" s="85">
        <f t="shared" ref="B97:F103" si="8">B44*$H57</f>
        <v>4157.7905551889908</v>
      </c>
      <c r="C97" s="85">
        <f t="shared" si="8"/>
        <v>4950.5137147704781</v>
      </c>
      <c r="D97" s="85">
        <f t="shared" si="8"/>
        <v>5743.2368743519655</v>
      </c>
      <c r="E97" s="85">
        <f t="shared" si="8"/>
        <v>6535.9600339334529</v>
      </c>
      <c r="F97" s="85">
        <f t="shared" si="8"/>
        <v>7328.6831935149403</v>
      </c>
    </row>
    <row r="98" spans="1:6">
      <c r="A98" s="89" t="s">
        <v>71</v>
      </c>
      <c r="B98" s="85">
        <f t="shared" si="8"/>
        <v>5213.5620333349507</v>
      </c>
      <c r="C98" s="85">
        <f t="shared" si="8"/>
        <v>6367.5556657792849</v>
      </c>
      <c r="D98" s="85">
        <f t="shared" si="8"/>
        <v>7521.5492982236192</v>
      </c>
      <c r="E98" s="85">
        <f t="shared" si="8"/>
        <v>8675.5429306679525</v>
      </c>
      <c r="F98" s="85">
        <f t="shared" si="8"/>
        <v>9829.5365631122877</v>
      </c>
    </row>
    <row r="99" spans="1:6">
      <c r="A99" s="89" t="s">
        <v>72</v>
      </c>
      <c r="B99" s="85">
        <f t="shared" si="8"/>
        <v>6204.3050555952559</v>
      </c>
      <c r="C99" s="85">
        <f t="shared" si="8"/>
        <v>7697.8517831415293</v>
      </c>
      <c r="D99" s="85">
        <f t="shared" si="8"/>
        <v>9191.3985106878026</v>
      </c>
      <c r="E99" s="85">
        <f t="shared" si="8"/>
        <v>10684.945238234075</v>
      </c>
      <c r="F99" s="85">
        <f t="shared" si="8"/>
        <v>12178.491965780349</v>
      </c>
    </row>
    <row r="100" spans="1:6">
      <c r="A100" s="89" t="s">
        <v>73</v>
      </c>
      <c r="B100" s="85">
        <f t="shared" si="8"/>
        <v>7132.9120380726526</v>
      </c>
      <c r="C100" s="85">
        <f t="shared" si="8"/>
        <v>8945.2530940637826</v>
      </c>
      <c r="D100" s="85">
        <f t="shared" si="8"/>
        <v>10757.594150054911</v>
      </c>
      <c r="E100" s="85">
        <f t="shared" si="8"/>
        <v>12569.935206046039</v>
      </c>
      <c r="F100" s="85">
        <f t="shared" si="8"/>
        <v>14382.276262037169</v>
      </c>
    </row>
    <row r="101" spans="1:6">
      <c r="A101" s="89" t="s">
        <v>74</v>
      </c>
      <c r="B101" s="85">
        <f t="shared" si="8"/>
        <v>8002.1620726123183</v>
      </c>
      <c r="C101" s="85">
        <f t="shared" si="8"/>
        <v>10113.459883711812</v>
      </c>
      <c r="D101" s="85">
        <f t="shared" si="8"/>
        <v>12224.757694811304</v>
      </c>
      <c r="E101" s="85">
        <f t="shared" si="8"/>
        <v>14336.055505910797</v>
      </c>
      <c r="F101" s="85">
        <f t="shared" si="8"/>
        <v>16447.353317010289</v>
      </c>
    </row>
    <row r="102" spans="1:6">
      <c r="A102" s="89" t="s">
        <v>121</v>
      </c>
      <c r="B102" s="85">
        <f t="shared" si="8"/>
        <v>8814.7250744732992</v>
      </c>
      <c r="C102" s="85">
        <f t="shared" si="8"/>
        <v>11206.027209334101</v>
      </c>
      <c r="D102" s="85">
        <f t="shared" si="8"/>
        <v>13597.329344194904</v>
      </c>
      <c r="E102" s="85">
        <f t="shared" si="8"/>
        <v>15988.631479055708</v>
      </c>
      <c r="F102" s="85">
        <f t="shared" si="8"/>
        <v>18379.933613916513</v>
      </c>
    </row>
    <row r="103" spans="1:6">
      <c r="A103" s="89" t="s">
        <v>122</v>
      </c>
      <c r="B103" s="85">
        <f t="shared" si="8"/>
        <v>9573.1657845250993</v>
      </c>
      <c r="C103" s="85">
        <f t="shared" si="8"/>
        <v>12226.370221054236</v>
      </c>
      <c r="D103" s="85">
        <f t="shared" si="8"/>
        <v>14879.574657583375</v>
      </c>
      <c r="E103" s="85">
        <f t="shared" si="8"/>
        <v>17532.779094112513</v>
      </c>
      <c r="F103" s="85">
        <f>F50*$H63</f>
        <v>20185.98353064165</v>
      </c>
    </row>
  </sheetData>
  <mergeCells count="11">
    <mergeCell ref="A1:C1"/>
    <mergeCell ref="A12:C12"/>
    <mergeCell ref="A22:C22"/>
    <mergeCell ref="A32:E32"/>
    <mergeCell ref="A42:D42"/>
    <mergeCell ref="A95:F95"/>
    <mergeCell ref="A54:E54"/>
    <mergeCell ref="G54:M54"/>
    <mergeCell ref="A65:E65"/>
    <mergeCell ref="A75:E75"/>
    <mergeCell ref="A85:F85"/>
  </mergeCells>
  <phoneticPr fontId="5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M103"/>
  <sheetViews>
    <sheetView view="pageLayout" topLeftCell="A54" zoomScale="75" workbookViewId="0">
      <selection activeCell="H87" sqref="H87"/>
    </sheetView>
  </sheetViews>
  <sheetFormatPr baseColWidth="10" defaultRowHeight="13"/>
  <sheetData>
    <row r="2" spans="1:6">
      <c r="A2" s="107" t="s">
        <v>187</v>
      </c>
      <c r="B2" s="107"/>
      <c r="C2" s="107"/>
    </row>
    <row r="3" spans="1:6">
      <c r="A3" s="73" t="s">
        <v>142</v>
      </c>
      <c r="B3" s="59" t="s">
        <v>50</v>
      </c>
      <c r="C3" s="59" t="s">
        <v>29</v>
      </c>
      <c r="D3" s="59" t="s">
        <v>135</v>
      </c>
      <c r="E3" s="59" t="s">
        <v>31</v>
      </c>
      <c r="F3" s="59" t="s">
        <v>32</v>
      </c>
    </row>
    <row r="4" spans="1:6">
      <c r="A4" s="59" t="s">
        <v>69</v>
      </c>
      <c r="B4" s="79">
        <v>2396</v>
      </c>
      <c r="C4" s="79">
        <v>2774</v>
      </c>
      <c r="D4" s="79">
        <v>3152</v>
      </c>
      <c r="E4" s="79">
        <v>3530</v>
      </c>
      <c r="F4" s="79">
        <v>3908</v>
      </c>
    </row>
    <row r="5" spans="1:6">
      <c r="A5" s="59" t="s">
        <v>70</v>
      </c>
      <c r="B5" s="79">
        <v>2338</v>
      </c>
      <c r="C5" s="79">
        <v>3093</v>
      </c>
      <c r="D5" s="79">
        <v>3848</v>
      </c>
      <c r="E5" s="79">
        <v>4603</v>
      </c>
      <c r="F5" s="79">
        <v>5358</v>
      </c>
    </row>
    <row r="6" spans="1:6">
      <c r="A6" s="59" t="s">
        <v>71</v>
      </c>
      <c r="B6" s="79">
        <v>2280</v>
      </c>
      <c r="C6" s="79">
        <v>3412</v>
      </c>
      <c r="D6" s="79">
        <v>4544</v>
      </c>
      <c r="E6" s="79">
        <v>5676</v>
      </c>
      <c r="F6" s="79">
        <v>6808</v>
      </c>
    </row>
    <row r="7" spans="1:6">
      <c r="A7" s="59" t="s">
        <v>72</v>
      </c>
      <c r="B7" s="79">
        <v>2222</v>
      </c>
      <c r="C7" s="79">
        <v>3731</v>
      </c>
      <c r="D7" s="79">
        <v>5240</v>
      </c>
      <c r="E7" s="79">
        <v>6749</v>
      </c>
      <c r="F7" s="79">
        <v>8258</v>
      </c>
    </row>
    <row r="8" spans="1:6">
      <c r="A8" s="59" t="s">
        <v>73</v>
      </c>
      <c r="B8" s="79">
        <v>2164</v>
      </c>
      <c r="C8" s="79">
        <v>4050</v>
      </c>
      <c r="D8" s="79">
        <v>5936</v>
      </c>
      <c r="E8" s="79">
        <v>7822</v>
      </c>
      <c r="F8" s="79">
        <v>9708</v>
      </c>
    </row>
    <row r="9" spans="1:6">
      <c r="A9" s="59" t="s">
        <v>74</v>
      </c>
      <c r="B9" s="79">
        <v>2106</v>
      </c>
      <c r="C9" s="79">
        <v>4369</v>
      </c>
      <c r="D9" s="79">
        <v>6632</v>
      </c>
      <c r="E9" s="79">
        <v>8895</v>
      </c>
      <c r="F9" s="79">
        <v>11158</v>
      </c>
    </row>
    <row r="10" spans="1:6">
      <c r="A10" s="59" t="s">
        <v>121</v>
      </c>
      <c r="B10" s="79">
        <v>2048</v>
      </c>
      <c r="C10" s="79">
        <v>4688</v>
      </c>
      <c r="D10" s="79">
        <v>7328</v>
      </c>
      <c r="E10" s="79">
        <v>9968</v>
      </c>
      <c r="F10" s="79">
        <v>12608</v>
      </c>
    </row>
    <row r="11" spans="1:6">
      <c r="A11" s="59" t="s">
        <v>122</v>
      </c>
      <c r="B11" s="79">
        <v>1990</v>
      </c>
      <c r="C11" s="79">
        <v>5007</v>
      </c>
      <c r="D11" s="79">
        <v>8024</v>
      </c>
      <c r="E11" s="79">
        <v>11041</v>
      </c>
      <c r="F11" s="79">
        <v>14058</v>
      </c>
    </row>
    <row r="13" spans="1:6">
      <c r="A13" s="107" t="s">
        <v>35</v>
      </c>
      <c r="B13" s="107"/>
      <c r="C13" s="107"/>
    </row>
    <row r="14" spans="1:6">
      <c r="A14" s="59" t="s">
        <v>69</v>
      </c>
      <c r="B14" s="83">
        <v>-8903</v>
      </c>
      <c r="C14" s="84">
        <v>-8659</v>
      </c>
      <c r="D14" s="83">
        <v>-8415</v>
      </c>
      <c r="E14" s="84">
        <v>-8171</v>
      </c>
      <c r="F14" s="83">
        <v>-7927</v>
      </c>
    </row>
    <row r="15" spans="1:6">
      <c r="A15" s="59" t="s">
        <v>70</v>
      </c>
      <c r="B15" s="83">
        <v>-8133</v>
      </c>
      <c r="C15" s="83">
        <v>-7645</v>
      </c>
      <c r="D15" s="83">
        <v>-7157</v>
      </c>
      <c r="E15" s="83">
        <v>-6669</v>
      </c>
      <c r="F15" s="83">
        <v>-6181</v>
      </c>
    </row>
    <row r="16" spans="1:6">
      <c r="A16" s="59" t="s">
        <v>71</v>
      </c>
      <c r="B16" s="83">
        <v>-7363</v>
      </c>
      <c r="C16" s="84">
        <v>-6631</v>
      </c>
      <c r="D16" s="83">
        <v>-5899</v>
      </c>
      <c r="E16" s="84">
        <v>-5167</v>
      </c>
      <c r="F16" s="83">
        <v>-4435</v>
      </c>
    </row>
    <row r="17" spans="1:6">
      <c r="A17" s="59" t="s">
        <v>72</v>
      </c>
      <c r="B17" s="83">
        <v>-6593</v>
      </c>
      <c r="C17" s="83">
        <v>-5617</v>
      </c>
      <c r="D17" s="83">
        <v>-4641</v>
      </c>
      <c r="E17" s="83">
        <v>-3665</v>
      </c>
      <c r="F17" s="83">
        <v>-2689</v>
      </c>
    </row>
    <row r="18" spans="1:6">
      <c r="A18" s="59" t="s">
        <v>73</v>
      </c>
      <c r="B18" s="83">
        <v>-5823</v>
      </c>
      <c r="C18" s="84">
        <v>-4603</v>
      </c>
      <c r="D18" s="83">
        <v>-3383</v>
      </c>
      <c r="E18" s="84">
        <v>-2163</v>
      </c>
      <c r="F18" s="83">
        <v>-943</v>
      </c>
    </row>
    <row r="19" spans="1:6">
      <c r="A19" s="59" t="s">
        <v>74</v>
      </c>
      <c r="B19" s="83">
        <v>-5053</v>
      </c>
      <c r="C19" s="83">
        <v>-3589</v>
      </c>
      <c r="D19" s="83">
        <v>-2125</v>
      </c>
      <c r="E19" s="83">
        <v>-661</v>
      </c>
      <c r="F19" s="85">
        <v>803</v>
      </c>
    </row>
    <row r="20" spans="1:6">
      <c r="A20" s="59" t="s">
        <v>121</v>
      </c>
      <c r="B20" s="83">
        <v>-4283</v>
      </c>
      <c r="C20" s="84">
        <v>-2575</v>
      </c>
      <c r="D20" s="83">
        <v>-867</v>
      </c>
      <c r="E20" s="86">
        <v>841</v>
      </c>
      <c r="F20" s="85">
        <v>2549</v>
      </c>
    </row>
    <row r="21" spans="1:6">
      <c r="A21" s="59" t="s">
        <v>122</v>
      </c>
      <c r="B21" s="83">
        <v>-3513</v>
      </c>
      <c r="C21" s="83">
        <v>-1561</v>
      </c>
      <c r="D21" s="85">
        <v>391</v>
      </c>
      <c r="E21" s="85">
        <v>2343</v>
      </c>
      <c r="F21" s="85">
        <v>4295</v>
      </c>
    </row>
    <row r="23" spans="1:6">
      <c r="A23" s="107" t="s">
        <v>36</v>
      </c>
      <c r="B23" s="107"/>
      <c r="C23" s="107"/>
    </row>
    <row r="24" spans="1:6">
      <c r="A24" s="59" t="s">
        <v>69</v>
      </c>
      <c r="B24" s="79">
        <v>264</v>
      </c>
      <c r="C24" s="79">
        <v>527</v>
      </c>
      <c r="D24" s="79">
        <v>790</v>
      </c>
      <c r="E24" s="79">
        <v>1053</v>
      </c>
      <c r="F24" s="79">
        <v>1316</v>
      </c>
    </row>
    <row r="25" spans="1:6">
      <c r="A25" s="59" t="s">
        <v>70</v>
      </c>
      <c r="B25" s="79">
        <v>787</v>
      </c>
      <c r="C25" s="79">
        <v>1314</v>
      </c>
      <c r="D25" s="79">
        <v>1841</v>
      </c>
      <c r="E25" s="79">
        <v>2368</v>
      </c>
      <c r="F25" s="79">
        <v>2895</v>
      </c>
    </row>
    <row r="26" spans="1:6">
      <c r="A26" s="59" t="s">
        <v>71</v>
      </c>
      <c r="B26" s="79">
        <v>1310</v>
      </c>
      <c r="C26" s="79">
        <v>2101</v>
      </c>
      <c r="D26" s="79">
        <v>2892</v>
      </c>
      <c r="E26" s="79">
        <v>3683</v>
      </c>
      <c r="F26" s="79">
        <v>4474</v>
      </c>
    </row>
    <row r="27" spans="1:6">
      <c r="A27" s="59" t="s">
        <v>72</v>
      </c>
      <c r="B27" s="79">
        <v>1833</v>
      </c>
      <c r="C27" s="79">
        <v>2888</v>
      </c>
      <c r="D27" s="79">
        <v>3943</v>
      </c>
      <c r="E27" s="79">
        <v>4998</v>
      </c>
      <c r="F27" s="79">
        <v>6053</v>
      </c>
    </row>
    <row r="28" spans="1:6">
      <c r="A28" s="59" t="s">
        <v>73</v>
      </c>
      <c r="B28" s="79">
        <v>2356</v>
      </c>
      <c r="C28" s="79">
        <v>3675</v>
      </c>
      <c r="D28" s="79">
        <v>4994</v>
      </c>
      <c r="E28" s="79">
        <v>6313</v>
      </c>
      <c r="F28" s="79">
        <v>7632</v>
      </c>
    </row>
    <row r="29" spans="1:6">
      <c r="A29" s="59" t="s">
        <v>74</v>
      </c>
      <c r="B29" s="79">
        <v>2879</v>
      </c>
      <c r="C29" s="79">
        <v>4462</v>
      </c>
      <c r="D29" s="79">
        <v>6045</v>
      </c>
      <c r="E29" s="79">
        <v>7628</v>
      </c>
      <c r="F29" s="79">
        <v>9211</v>
      </c>
    </row>
    <row r="30" spans="1:6">
      <c r="A30" s="59" t="s">
        <v>121</v>
      </c>
      <c r="B30" s="79">
        <v>3402</v>
      </c>
      <c r="C30" s="79">
        <v>5249</v>
      </c>
      <c r="D30" s="79">
        <v>7096</v>
      </c>
      <c r="E30" s="79">
        <v>8943</v>
      </c>
      <c r="F30" s="79">
        <v>10790</v>
      </c>
    </row>
    <row r="31" spans="1:6">
      <c r="A31" s="59" t="s">
        <v>122</v>
      </c>
      <c r="B31" s="79">
        <v>3925</v>
      </c>
      <c r="C31" s="79">
        <v>6036</v>
      </c>
      <c r="D31" s="79">
        <v>8147</v>
      </c>
      <c r="E31" s="79">
        <v>10258</v>
      </c>
      <c r="F31" s="79">
        <v>12369</v>
      </c>
    </row>
    <row r="32" spans="1:6">
      <c r="A32" s="59"/>
      <c r="B32" s="9"/>
      <c r="C32" s="9"/>
      <c r="D32" s="9"/>
      <c r="E32" s="9"/>
      <c r="F32" s="9"/>
    </row>
    <row r="33" spans="1:6">
      <c r="A33" s="107" t="s">
        <v>67</v>
      </c>
      <c r="B33" s="107"/>
      <c r="C33" s="107"/>
      <c r="D33" s="107"/>
      <c r="E33" s="107"/>
    </row>
    <row r="34" spans="1:6">
      <c r="A34" s="59" t="s">
        <v>69</v>
      </c>
      <c r="B34" s="79">
        <v>411</v>
      </c>
      <c r="C34" s="79">
        <v>731</v>
      </c>
      <c r="D34" s="79">
        <v>1051</v>
      </c>
      <c r="E34" s="79">
        <v>1371</v>
      </c>
      <c r="F34" s="79">
        <v>1691</v>
      </c>
    </row>
    <row r="35" spans="1:6">
      <c r="A35" s="59" t="s">
        <v>70</v>
      </c>
      <c r="B35" s="79">
        <v>1227</v>
      </c>
      <c r="C35" s="79">
        <v>1868</v>
      </c>
      <c r="D35" s="79">
        <v>2509</v>
      </c>
      <c r="E35" s="79">
        <v>3150</v>
      </c>
      <c r="F35" s="79">
        <v>3791</v>
      </c>
    </row>
    <row r="36" spans="1:6">
      <c r="A36" s="59" t="s">
        <v>71</v>
      </c>
      <c r="B36" s="79">
        <v>2043</v>
      </c>
      <c r="C36" s="79">
        <v>3005</v>
      </c>
      <c r="D36" s="79">
        <v>3967</v>
      </c>
      <c r="E36" s="79">
        <v>4929</v>
      </c>
      <c r="F36" s="79">
        <v>5891</v>
      </c>
    </row>
    <row r="37" spans="1:6">
      <c r="A37" s="59" t="s">
        <v>72</v>
      </c>
      <c r="B37" s="79">
        <v>2859</v>
      </c>
      <c r="C37" s="79">
        <v>4142</v>
      </c>
      <c r="D37" s="79">
        <v>5425</v>
      </c>
      <c r="E37" s="79">
        <v>6708</v>
      </c>
      <c r="F37" s="79">
        <v>7991</v>
      </c>
    </row>
    <row r="38" spans="1:6">
      <c r="A38" s="59" t="s">
        <v>73</v>
      </c>
      <c r="B38" s="79">
        <v>3675</v>
      </c>
      <c r="C38" s="79">
        <v>5279</v>
      </c>
      <c r="D38" s="79">
        <v>6883</v>
      </c>
      <c r="E38" s="79">
        <v>8487</v>
      </c>
      <c r="F38" s="79">
        <v>10091</v>
      </c>
    </row>
    <row r="39" spans="1:6">
      <c r="A39" s="59" t="s">
        <v>74</v>
      </c>
      <c r="B39" s="79">
        <v>4491</v>
      </c>
      <c r="C39" s="79">
        <v>6416</v>
      </c>
      <c r="D39" s="79">
        <v>8341</v>
      </c>
      <c r="E39" s="79">
        <v>10266</v>
      </c>
      <c r="F39" s="79">
        <v>12191</v>
      </c>
    </row>
    <row r="40" spans="1:6">
      <c r="A40" s="59" t="s">
        <v>121</v>
      </c>
      <c r="B40" s="79">
        <v>5307</v>
      </c>
      <c r="C40" s="79">
        <v>7553</v>
      </c>
      <c r="D40" s="79">
        <v>9799</v>
      </c>
      <c r="E40" s="79">
        <v>12045</v>
      </c>
      <c r="F40" s="79">
        <v>14291</v>
      </c>
    </row>
    <row r="41" spans="1:6">
      <c r="A41" s="59" t="s">
        <v>122</v>
      </c>
      <c r="B41" s="79">
        <v>6123</v>
      </c>
      <c r="C41" s="79">
        <v>8690</v>
      </c>
      <c r="D41" s="79">
        <v>11257</v>
      </c>
      <c r="E41" s="79">
        <v>13824</v>
      </c>
      <c r="F41" s="79">
        <v>16391</v>
      </c>
    </row>
    <row r="42" spans="1:6">
      <c r="A42" s="59"/>
      <c r="B42" s="9"/>
      <c r="C42" s="9"/>
      <c r="D42" s="9"/>
      <c r="E42" s="9"/>
      <c r="F42" s="9"/>
    </row>
    <row r="43" spans="1:6">
      <c r="A43" s="108" t="s">
        <v>180</v>
      </c>
      <c r="B43" s="108"/>
      <c r="C43" s="108"/>
      <c r="D43" s="108"/>
      <c r="E43" s="9"/>
      <c r="F43" s="9"/>
    </row>
    <row r="44" spans="1:6">
      <c r="A44" s="59" t="s">
        <v>69</v>
      </c>
      <c r="B44" s="79">
        <v>2497</v>
      </c>
      <c r="C44" s="79">
        <v>2917</v>
      </c>
      <c r="D44" s="79">
        <v>3337</v>
      </c>
      <c r="E44" s="79">
        <v>3757</v>
      </c>
      <c r="F44" s="79">
        <v>4177</v>
      </c>
    </row>
    <row r="45" spans="1:6">
      <c r="A45" s="59" t="s">
        <v>70</v>
      </c>
      <c r="B45" s="79">
        <v>4555</v>
      </c>
      <c r="C45" s="79">
        <v>5395</v>
      </c>
      <c r="D45" s="79">
        <v>6235</v>
      </c>
      <c r="E45" s="79">
        <v>7075</v>
      </c>
      <c r="F45" s="79">
        <v>7915</v>
      </c>
    </row>
    <row r="46" spans="1:6">
      <c r="A46" s="59" t="s">
        <v>71</v>
      </c>
      <c r="B46" s="79">
        <v>6613</v>
      </c>
      <c r="C46" s="79">
        <v>7873</v>
      </c>
      <c r="D46" s="79">
        <v>9133</v>
      </c>
      <c r="E46" s="79">
        <v>10393</v>
      </c>
      <c r="F46" s="79">
        <v>11653</v>
      </c>
    </row>
    <row r="47" spans="1:6">
      <c r="A47" s="59" t="s">
        <v>72</v>
      </c>
      <c r="B47" s="79">
        <v>8671</v>
      </c>
      <c r="C47" s="79">
        <v>10351</v>
      </c>
      <c r="D47" s="79">
        <v>12031</v>
      </c>
      <c r="E47" s="79">
        <v>13711</v>
      </c>
      <c r="F47" s="79">
        <v>15391</v>
      </c>
    </row>
    <row r="48" spans="1:6">
      <c r="A48" s="59" t="s">
        <v>73</v>
      </c>
      <c r="B48" s="79">
        <v>10729</v>
      </c>
      <c r="C48" s="79">
        <v>12829</v>
      </c>
      <c r="D48" s="79">
        <v>14929</v>
      </c>
      <c r="E48" s="79">
        <v>17029</v>
      </c>
      <c r="F48" s="79">
        <v>19129</v>
      </c>
    </row>
    <row r="49" spans="1:13">
      <c r="A49" s="59" t="s">
        <v>74</v>
      </c>
      <c r="B49" s="79">
        <v>12787</v>
      </c>
      <c r="C49" s="79">
        <v>15307</v>
      </c>
      <c r="D49" s="79">
        <v>17827</v>
      </c>
      <c r="E49" s="79">
        <v>20347</v>
      </c>
      <c r="F49" s="79">
        <v>22867</v>
      </c>
    </row>
    <row r="50" spans="1:13">
      <c r="A50" s="59" t="s">
        <v>121</v>
      </c>
      <c r="B50" s="79">
        <v>14845</v>
      </c>
      <c r="C50" s="79">
        <v>17785</v>
      </c>
      <c r="D50" s="79">
        <v>20725</v>
      </c>
      <c r="E50" s="79">
        <v>23665</v>
      </c>
      <c r="F50" s="79">
        <v>26605</v>
      </c>
    </row>
    <row r="51" spans="1:13">
      <c r="A51" s="59" t="s">
        <v>122</v>
      </c>
      <c r="B51" s="79">
        <v>16903</v>
      </c>
      <c r="C51" s="79">
        <v>20263</v>
      </c>
      <c r="D51" s="79">
        <v>23623</v>
      </c>
      <c r="E51" s="79">
        <v>26983</v>
      </c>
      <c r="F51" s="79">
        <v>30343</v>
      </c>
    </row>
    <row r="54" spans="1:13">
      <c r="A54" s="107" t="s">
        <v>232</v>
      </c>
      <c r="B54" s="107"/>
      <c r="C54" s="107"/>
      <c r="D54" s="107"/>
      <c r="E54" s="107"/>
      <c r="G54" s="108" t="s">
        <v>226</v>
      </c>
      <c r="H54" s="108"/>
      <c r="I54" s="108"/>
      <c r="J54" s="108"/>
      <c r="K54" s="108"/>
      <c r="L54" s="108"/>
      <c r="M54" s="108"/>
    </row>
    <row r="55" spans="1:13">
      <c r="A55" s="89" t="s">
        <v>143</v>
      </c>
      <c r="B55" s="89" t="s">
        <v>50</v>
      </c>
      <c r="C55" s="89" t="s">
        <v>29</v>
      </c>
      <c r="D55" s="89" t="s">
        <v>135</v>
      </c>
      <c r="E55" s="89" t="s">
        <v>31</v>
      </c>
      <c r="F55" s="89" t="s">
        <v>32</v>
      </c>
      <c r="G55" s="89" t="s">
        <v>224</v>
      </c>
      <c r="H55" s="89"/>
      <c r="I55" s="89"/>
      <c r="J55" s="89"/>
    </row>
    <row r="56" spans="1:13">
      <c r="A56" s="89" t="s">
        <v>69</v>
      </c>
      <c r="B56" s="85">
        <f>B4*$H56</f>
        <v>2326.2135922330099</v>
      </c>
      <c r="C56" s="85">
        <f t="shared" ref="C56:F56" si="0">C4*$H56</f>
        <v>2693.2038834951459</v>
      </c>
      <c r="D56" s="85">
        <f t="shared" si="0"/>
        <v>3060.1941747572814</v>
      </c>
      <c r="E56" s="85">
        <f t="shared" si="0"/>
        <v>3427.1844660194174</v>
      </c>
      <c r="F56" s="85">
        <f t="shared" si="0"/>
        <v>3794.1747572815534</v>
      </c>
      <c r="G56" s="89">
        <v>1</v>
      </c>
      <c r="H56">
        <f>1/(1+0.03)</f>
        <v>0.970873786407767</v>
      </c>
      <c r="J56" s="89"/>
    </row>
    <row r="57" spans="1:13">
      <c r="A57" s="89" t="s">
        <v>70</v>
      </c>
      <c r="B57" s="85">
        <f t="shared" ref="B57:F63" si="1">B5*$H57</f>
        <v>2203.7892355547178</v>
      </c>
      <c r="C57" s="85">
        <f t="shared" si="1"/>
        <v>2915.449146950702</v>
      </c>
      <c r="D57" s="85">
        <f t="shared" si="1"/>
        <v>3627.1090583466867</v>
      </c>
      <c r="E57" s="85">
        <f t="shared" si="1"/>
        <v>4338.7689697426713</v>
      </c>
      <c r="F57" s="85">
        <f t="shared" si="1"/>
        <v>5050.4288811386559</v>
      </c>
      <c r="G57" s="89">
        <v>2</v>
      </c>
      <c r="H57">
        <f>1/(1+0.03)^2</f>
        <v>0.94259590913375435</v>
      </c>
      <c r="J57" s="89"/>
    </row>
    <row r="58" spans="1:13">
      <c r="A58" s="89" t="s">
        <v>71</v>
      </c>
      <c r="B58" s="85">
        <f t="shared" si="1"/>
        <v>2086.5229833252038</v>
      </c>
      <c r="C58" s="85">
        <f t="shared" si="1"/>
        <v>3122.4633417129808</v>
      </c>
      <c r="D58" s="85">
        <f t="shared" si="1"/>
        <v>4158.4037001007573</v>
      </c>
      <c r="E58" s="85">
        <f t="shared" si="1"/>
        <v>5194.3440584885338</v>
      </c>
      <c r="F58" s="85">
        <f t="shared" si="1"/>
        <v>6230.2844168763104</v>
      </c>
      <c r="G58" s="89">
        <v>3</v>
      </c>
      <c r="H58">
        <f>1/(1+0.03)^3</f>
        <v>0.91514165935315961</v>
      </c>
      <c r="J58" s="89"/>
    </row>
    <row r="59" spans="1:13">
      <c r="A59" s="89" t="s">
        <v>72</v>
      </c>
      <c r="B59" s="85">
        <f t="shared" si="1"/>
        <v>1974.218220468661</v>
      </c>
      <c r="C59" s="85">
        <f t="shared" si="1"/>
        <v>3314.9451757734355</v>
      </c>
      <c r="D59" s="85">
        <f t="shared" si="1"/>
        <v>4655.6721310782104</v>
      </c>
      <c r="E59" s="85">
        <f t="shared" si="1"/>
        <v>5996.3990863829849</v>
      </c>
      <c r="F59" s="85">
        <f t="shared" si="1"/>
        <v>7337.1260416877594</v>
      </c>
      <c r="G59" s="89">
        <v>4</v>
      </c>
      <c r="H59">
        <f>1/(1+0.03)^4</f>
        <v>0.888487047915689</v>
      </c>
      <c r="J59" s="89"/>
    </row>
    <row r="60" spans="1:13">
      <c r="A60" s="89" t="s">
        <v>73</v>
      </c>
      <c r="B60" s="85">
        <f t="shared" si="1"/>
        <v>1866.6854094073312</v>
      </c>
      <c r="C60" s="85">
        <f t="shared" si="1"/>
        <v>3493.5655767558646</v>
      </c>
      <c r="D60" s="85">
        <f t="shared" si="1"/>
        <v>5120.4457441043978</v>
      </c>
      <c r="E60" s="85">
        <f t="shared" si="1"/>
        <v>6747.3259114529319</v>
      </c>
      <c r="F60" s="85">
        <f t="shared" si="1"/>
        <v>8374.206078801466</v>
      </c>
      <c r="G60" s="89">
        <v>5</v>
      </c>
      <c r="H60">
        <f>1/(1+0.03)^5</f>
        <v>0.86260878438416411</v>
      </c>
      <c r="J60" s="91"/>
    </row>
    <row r="61" spans="1:13">
      <c r="A61" s="89" t="s">
        <v>74</v>
      </c>
      <c r="B61" s="85">
        <f t="shared" si="1"/>
        <v>1763.7418445757762</v>
      </c>
      <c r="C61" s="85">
        <f t="shared" si="1"/>
        <v>3658.9687174508863</v>
      </c>
      <c r="D61" s="85">
        <f t="shared" si="1"/>
        <v>5554.1955903259959</v>
      </c>
      <c r="E61" s="85">
        <f t="shared" si="1"/>
        <v>7449.4224632011064</v>
      </c>
      <c r="F61" s="85">
        <f t="shared" si="1"/>
        <v>9344.6493360762161</v>
      </c>
      <c r="G61" s="89">
        <v>6</v>
      </c>
      <c r="H61">
        <f>1/(1+0.03)^6</f>
        <v>0.83748425668365445</v>
      </c>
      <c r="J61" s="91"/>
    </row>
    <row r="62" spans="1:13">
      <c r="A62" s="89" t="s">
        <v>121</v>
      </c>
      <c r="B62" s="85">
        <f t="shared" si="1"/>
        <v>1665.2114152311885</v>
      </c>
      <c r="C62" s="85">
        <f t="shared" si="1"/>
        <v>3811.7730051776425</v>
      </c>
      <c r="D62" s="85">
        <f t="shared" si="1"/>
        <v>5958.3345951240963</v>
      </c>
      <c r="E62" s="85">
        <f t="shared" si="1"/>
        <v>8104.89618507055</v>
      </c>
      <c r="F62" s="85">
        <f t="shared" si="1"/>
        <v>10251.457775017005</v>
      </c>
      <c r="G62" s="89">
        <v>7</v>
      </c>
      <c r="H62">
        <f>1/(1+0.03)^7</f>
        <v>0.81309151134335378</v>
      </c>
      <c r="J62" s="91"/>
    </row>
    <row r="63" spans="1:13">
      <c r="A63" s="89" t="s">
        <v>145</v>
      </c>
      <c r="B63" s="85">
        <f t="shared" si="1"/>
        <v>1570.924376284732</v>
      </c>
      <c r="C63" s="85">
        <f t="shared" si="1"/>
        <v>3952.5720362098764</v>
      </c>
      <c r="D63" s="85">
        <f t="shared" si="1"/>
        <v>6334.2196961350201</v>
      </c>
      <c r="E63" s="85">
        <f t="shared" si="1"/>
        <v>8715.8673560601637</v>
      </c>
      <c r="F63" s="85">
        <f t="shared" si="1"/>
        <v>11097.515015985309</v>
      </c>
      <c r="G63" s="89">
        <v>8</v>
      </c>
      <c r="H63">
        <f>1/(1+0.03)^8</f>
        <v>0.78940923431393573</v>
      </c>
      <c r="J63" s="91"/>
    </row>
    <row r="65" spans="1:6">
      <c r="A65" s="107" t="s">
        <v>233</v>
      </c>
      <c r="B65" s="107"/>
      <c r="C65" s="107"/>
      <c r="D65" s="107"/>
      <c r="E65" s="107"/>
    </row>
    <row r="66" spans="1:6">
      <c r="A66" s="89" t="s">
        <v>69</v>
      </c>
      <c r="B66" s="94">
        <v>-8644</v>
      </c>
      <c r="C66" s="94">
        <v>-8407</v>
      </c>
      <c r="D66" s="94">
        <v>-8170</v>
      </c>
      <c r="E66" s="94">
        <v>-7933</v>
      </c>
      <c r="F66" s="94">
        <v>-7696</v>
      </c>
    </row>
    <row r="67" spans="1:6">
      <c r="A67" s="89" t="s">
        <v>70</v>
      </c>
      <c r="B67" s="94">
        <v>-7666</v>
      </c>
      <c r="C67" s="94">
        <v>-7206</v>
      </c>
      <c r="D67" s="94">
        <v>-6746</v>
      </c>
      <c r="E67" s="94">
        <v>-6286</v>
      </c>
      <c r="F67" s="94">
        <v>-5826</v>
      </c>
    </row>
    <row r="68" spans="1:6">
      <c r="A68" s="89" t="s">
        <v>71</v>
      </c>
      <c r="B68" s="94">
        <v>-6738</v>
      </c>
      <c r="C68" s="94">
        <v>-6068</v>
      </c>
      <c r="D68" s="94">
        <v>-5398</v>
      </c>
      <c r="E68" s="94">
        <v>-4279</v>
      </c>
      <c r="F68" s="94">
        <v>-4059</v>
      </c>
    </row>
    <row r="69" spans="1:6">
      <c r="A69" s="89" t="s">
        <v>72</v>
      </c>
      <c r="B69" s="94">
        <v>-5858</v>
      </c>
      <c r="C69" s="94">
        <v>-4991</v>
      </c>
      <c r="D69" s="94">
        <v>-4123</v>
      </c>
      <c r="E69" s="94">
        <v>-3256</v>
      </c>
      <c r="F69" s="94">
        <v>-2389</v>
      </c>
    </row>
    <row r="70" spans="1:6">
      <c r="A70" s="89" t="s">
        <v>73</v>
      </c>
      <c r="B70" s="94">
        <v>-5023</v>
      </c>
      <c r="C70" s="94">
        <v>-3971</v>
      </c>
      <c r="D70" s="94">
        <v>-2918</v>
      </c>
      <c r="E70" s="94">
        <v>-1866</v>
      </c>
      <c r="F70" s="94">
        <v>-813</v>
      </c>
    </row>
    <row r="71" spans="1:6">
      <c r="A71" s="89" t="s">
        <v>74</v>
      </c>
      <c r="B71" s="94">
        <v>-4232</v>
      </c>
      <c r="C71" s="94">
        <v>-3006</v>
      </c>
      <c r="D71" s="94">
        <v>-1780</v>
      </c>
      <c r="E71" s="94">
        <v>-554</v>
      </c>
      <c r="F71" s="92">
        <v>672</v>
      </c>
    </row>
    <row r="72" spans="1:6">
      <c r="A72" s="89" t="s">
        <v>121</v>
      </c>
      <c r="B72" s="94">
        <v>-3482</v>
      </c>
      <c r="C72" s="94">
        <v>-2094</v>
      </c>
      <c r="D72" s="94">
        <v>-705</v>
      </c>
      <c r="E72" s="92">
        <v>684</v>
      </c>
      <c r="F72" s="92">
        <v>2073</v>
      </c>
    </row>
    <row r="73" spans="1:6">
      <c r="A73" s="89" t="s">
        <v>122</v>
      </c>
      <c r="B73" s="94">
        <v>-2773</v>
      </c>
      <c r="C73" s="94">
        <v>-1232</v>
      </c>
      <c r="D73" s="92">
        <v>309</v>
      </c>
      <c r="E73" s="92">
        <v>1850</v>
      </c>
      <c r="F73" s="92">
        <v>3391</v>
      </c>
    </row>
    <row r="75" spans="1:6">
      <c r="A75" s="107" t="s">
        <v>234</v>
      </c>
      <c r="B75" s="107"/>
      <c r="C75" s="107"/>
      <c r="D75" s="107"/>
      <c r="E75" s="107"/>
    </row>
    <row r="76" spans="1:6">
      <c r="A76" s="89" t="s">
        <v>69</v>
      </c>
      <c r="B76" s="85">
        <f>B24*$H56</f>
        <v>256.31067961165047</v>
      </c>
      <c r="C76" s="85">
        <f t="shared" ref="C76:F76" si="2">C24*$H56</f>
        <v>511.65048543689323</v>
      </c>
      <c r="D76" s="85">
        <f t="shared" si="2"/>
        <v>766.99029126213588</v>
      </c>
      <c r="E76" s="85">
        <f t="shared" si="2"/>
        <v>1022.3300970873787</v>
      </c>
      <c r="F76" s="85">
        <f t="shared" si="2"/>
        <v>1277.6699029126214</v>
      </c>
    </row>
    <row r="77" spans="1:6">
      <c r="A77" s="89" t="s">
        <v>70</v>
      </c>
      <c r="B77" s="85">
        <f t="shared" ref="B77:F83" si="3">B25*$H57</f>
        <v>741.82298048826465</v>
      </c>
      <c r="C77" s="85">
        <f t="shared" si="3"/>
        <v>1238.5710246017532</v>
      </c>
      <c r="D77" s="85">
        <f t="shared" si="3"/>
        <v>1735.3190687152417</v>
      </c>
      <c r="E77" s="85">
        <f t="shared" si="3"/>
        <v>2232.0671128287304</v>
      </c>
      <c r="F77" s="85">
        <f t="shared" si="3"/>
        <v>2728.8151569422189</v>
      </c>
    </row>
    <row r="78" spans="1:6">
      <c r="A78" s="89" t="s">
        <v>71</v>
      </c>
      <c r="B78" s="85">
        <f t="shared" si="3"/>
        <v>1198.835573752639</v>
      </c>
      <c r="C78" s="85">
        <f t="shared" si="3"/>
        <v>1922.7126263009884</v>
      </c>
      <c r="D78" s="85">
        <f t="shared" si="3"/>
        <v>2646.5896788493378</v>
      </c>
      <c r="E78" s="85">
        <f t="shared" si="3"/>
        <v>3370.466731397687</v>
      </c>
      <c r="F78" s="85">
        <f t="shared" si="3"/>
        <v>4094.3437839460362</v>
      </c>
    </row>
    <row r="79" spans="1:6">
      <c r="A79" s="89" t="s">
        <v>72</v>
      </c>
      <c r="B79" s="85">
        <f t="shared" si="3"/>
        <v>1628.5967588294579</v>
      </c>
      <c r="C79" s="85">
        <f t="shared" si="3"/>
        <v>2565.9505943805098</v>
      </c>
      <c r="D79" s="85">
        <f t="shared" si="3"/>
        <v>3503.3044299315616</v>
      </c>
      <c r="E79" s="85">
        <f t="shared" si="3"/>
        <v>4440.6582654826134</v>
      </c>
      <c r="F79" s="85">
        <f t="shared" si="3"/>
        <v>5378.0121010336652</v>
      </c>
    </row>
    <row r="80" spans="1:6">
      <c r="A80" s="89" t="s">
        <v>73</v>
      </c>
      <c r="B80" s="85">
        <f t="shared" si="3"/>
        <v>2032.3062960090906</v>
      </c>
      <c r="C80" s="85">
        <f t="shared" si="3"/>
        <v>3170.0872826118029</v>
      </c>
      <c r="D80" s="85">
        <f t="shared" si="3"/>
        <v>4307.8682692145157</v>
      </c>
      <c r="E80" s="85">
        <f t="shared" si="3"/>
        <v>5445.6492558172276</v>
      </c>
      <c r="F80" s="85">
        <f t="shared" si="3"/>
        <v>6583.4302424199404</v>
      </c>
    </row>
    <row r="81" spans="1:6">
      <c r="A81" s="89" t="s">
        <v>74</v>
      </c>
      <c r="B81" s="85">
        <f t="shared" si="3"/>
        <v>2411.117174992241</v>
      </c>
      <c r="C81" s="85">
        <f t="shared" si="3"/>
        <v>3736.854753322466</v>
      </c>
      <c r="D81" s="85">
        <f t="shared" si="3"/>
        <v>5062.5923316526914</v>
      </c>
      <c r="E81" s="85">
        <f t="shared" si="3"/>
        <v>6388.3299099829164</v>
      </c>
      <c r="F81" s="85">
        <f t="shared" si="3"/>
        <v>7714.0674883131414</v>
      </c>
    </row>
    <row r="82" spans="1:6">
      <c r="A82" s="89" t="s">
        <v>121</v>
      </c>
      <c r="B82" s="85">
        <f t="shared" si="3"/>
        <v>2766.1373215900894</v>
      </c>
      <c r="C82" s="85">
        <f t="shared" si="3"/>
        <v>4267.9173430412638</v>
      </c>
      <c r="D82" s="85">
        <f t="shared" si="3"/>
        <v>5769.6973644924383</v>
      </c>
      <c r="E82" s="85">
        <f t="shared" si="3"/>
        <v>7271.4773859436127</v>
      </c>
      <c r="F82" s="85">
        <f t="shared" si="3"/>
        <v>8773.2574073947872</v>
      </c>
    </row>
    <row r="83" spans="1:6">
      <c r="A83" s="89" t="s">
        <v>122</v>
      </c>
      <c r="B83" s="85">
        <f t="shared" si="3"/>
        <v>3098.4312446821978</v>
      </c>
      <c r="C83" s="85">
        <f t="shared" si="3"/>
        <v>4764.8741383189163</v>
      </c>
      <c r="D83" s="85">
        <f t="shared" si="3"/>
        <v>6431.3170319556348</v>
      </c>
      <c r="E83" s="85">
        <f t="shared" si="3"/>
        <v>8097.7599255923524</v>
      </c>
      <c r="F83" s="85">
        <f t="shared" si="3"/>
        <v>9764.2028192290709</v>
      </c>
    </row>
    <row r="84" spans="1:6">
      <c r="A84" s="89"/>
      <c r="B84" s="9"/>
      <c r="C84" s="9"/>
      <c r="D84" s="9"/>
      <c r="E84" s="9"/>
      <c r="F84" s="9"/>
    </row>
    <row r="85" spans="1:6">
      <c r="A85" s="107" t="s">
        <v>176</v>
      </c>
      <c r="B85" s="107"/>
      <c r="C85" s="107"/>
      <c r="D85" s="107"/>
      <c r="E85" s="107"/>
      <c r="F85" s="107"/>
    </row>
    <row r="86" spans="1:6">
      <c r="A86" s="89" t="s">
        <v>69</v>
      </c>
      <c r="B86" s="85">
        <f>B34*$H56</f>
        <v>399.02912621359224</v>
      </c>
      <c r="C86" s="85">
        <f t="shared" ref="C86:F86" si="4">C34*$H56</f>
        <v>709.70873786407765</v>
      </c>
      <c r="D86" s="85">
        <f t="shared" si="4"/>
        <v>1020.3883495145632</v>
      </c>
      <c r="E86" s="85">
        <f t="shared" si="4"/>
        <v>1331.0679611650485</v>
      </c>
      <c r="F86" s="85">
        <f t="shared" si="4"/>
        <v>1641.7475728155341</v>
      </c>
    </row>
    <row r="87" spans="1:6">
      <c r="A87" s="89" t="s">
        <v>70</v>
      </c>
      <c r="B87" s="85">
        <f t="shared" ref="B87:F93" si="5">B35*$H57</f>
        <v>1156.5651805071166</v>
      </c>
      <c r="C87" s="85">
        <f t="shared" si="5"/>
        <v>1760.7691582618531</v>
      </c>
      <c r="D87" s="85">
        <f t="shared" si="5"/>
        <v>2364.9731360165897</v>
      </c>
      <c r="E87" s="85">
        <f t="shared" si="5"/>
        <v>2969.1771137713263</v>
      </c>
      <c r="F87" s="85">
        <f t="shared" si="5"/>
        <v>3573.3810915260628</v>
      </c>
    </row>
    <row r="88" spans="1:6">
      <c r="A88" s="89" t="s">
        <v>71</v>
      </c>
      <c r="B88" s="85">
        <f t="shared" si="5"/>
        <v>1869.6344100585052</v>
      </c>
      <c r="C88" s="85">
        <f t="shared" si="5"/>
        <v>2750.0006863562448</v>
      </c>
      <c r="D88" s="85">
        <f t="shared" si="5"/>
        <v>3630.366962653984</v>
      </c>
      <c r="E88" s="85">
        <f t="shared" si="5"/>
        <v>4510.7332389517242</v>
      </c>
      <c r="F88" s="85">
        <f t="shared" si="5"/>
        <v>5391.0995152494634</v>
      </c>
    </row>
    <row r="89" spans="1:6">
      <c r="A89" s="89" t="s">
        <v>72</v>
      </c>
      <c r="B89" s="85">
        <f t="shared" si="5"/>
        <v>2540.1844699909548</v>
      </c>
      <c r="C89" s="85">
        <f t="shared" si="5"/>
        <v>3680.1133524667839</v>
      </c>
      <c r="D89" s="85">
        <f t="shared" si="5"/>
        <v>4820.0422349426126</v>
      </c>
      <c r="E89" s="85">
        <f t="shared" si="5"/>
        <v>5959.9711174184422</v>
      </c>
      <c r="F89" s="85">
        <f t="shared" si="5"/>
        <v>7099.8999998942709</v>
      </c>
    </row>
    <row r="90" spans="1:6">
      <c r="A90" s="89" t="s">
        <v>73</v>
      </c>
      <c r="B90" s="85">
        <f t="shared" si="5"/>
        <v>3170.0872826118029</v>
      </c>
      <c r="C90" s="85">
        <f t="shared" si="5"/>
        <v>4553.7117727640025</v>
      </c>
      <c r="D90" s="85">
        <f t="shared" si="5"/>
        <v>5937.3362629162011</v>
      </c>
      <c r="E90" s="85">
        <f t="shared" si="5"/>
        <v>7320.9607530684007</v>
      </c>
      <c r="F90" s="85">
        <f t="shared" si="5"/>
        <v>8704.5852432205993</v>
      </c>
    </row>
    <row r="91" spans="1:6">
      <c r="A91" s="89" t="s">
        <v>74</v>
      </c>
      <c r="B91" s="85">
        <f t="shared" si="5"/>
        <v>3761.1417967662919</v>
      </c>
      <c r="C91" s="85">
        <f t="shared" si="5"/>
        <v>5373.2989908823265</v>
      </c>
      <c r="D91" s="85">
        <f t="shared" si="5"/>
        <v>6985.456184998362</v>
      </c>
      <c r="E91" s="85">
        <f t="shared" si="5"/>
        <v>8597.6133791143966</v>
      </c>
      <c r="F91" s="85">
        <f t="shared" si="5"/>
        <v>10209.770573230431</v>
      </c>
    </row>
    <row r="92" spans="1:6">
      <c r="A92" s="89" t="s">
        <v>121</v>
      </c>
      <c r="B92" s="85">
        <f t="shared" si="5"/>
        <v>4315.0766506991786</v>
      </c>
      <c r="C92" s="85">
        <f t="shared" si="5"/>
        <v>6141.2801851763506</v>
      </c>
      <c r="D92" s="85">
        <f t="shared" si="5"/>
        <v>7967.4837196535236</v>
      </c>
      <c r="E92" s="85">
        <f t="shared" si="5"/>
        <v>9793.6872541306966</v>
      </c>
      <c r="F92" s="85">
        <f t="shared" si="5"/>
        <v>11619.890788607869</v>
      </c>
    </row>
    <row r="93" spans="1:6">
      <c r="A93" s="89" t="s">
        <v>122</v>
      </c>
      <c r="B93" s="85">
        <f t="shared" si="5"/>
        <v>4833.5527417042285</v>
      </c>
      <c r="C93" s="85">
        <f t="shared" si="5"/>
        <v>6859.9662461881016</v>
      </c>
      <c r="D93" s="85">
        <f t="shared" si="5"/>
        <v>8886.3797506719748</v>
      </c>
      <c r="E93" s="85">
        <f t="shared" si="5"/>
        <v>10912.793255155848</v>
      </c>
      <c r="F93" s="85">
        <f t="shared" si="5"/>
        <v>12939.206759639721</v>
      </c>
    </row>
    <row r="94" spans="1:6">
      <c r="A94" s="89"/>
      <c r="B94" s="9"/>
      <c r="C94" s="9"/>
      <c r="D94" s="9"/>
      <c r="E94" s="9"/>
      <c r="F94" s="9"/>
    </row>
    <row r="95" spans="1:6">
      <c r="A95" s="108" t="s">
        <v>235</v>
      </c>
      <c r="B95" s="108"/>
      <c r="C95" s="108"/>
      <c r="D95" s="108"/>
      <c r="E95" s="107"/>
      <c r="F95" s="107"/>
    </row>
    <row r="96" spans="1:6">
      <c r="A96" s="89" t="s">
        <v>69</v>
      </c>
      <c r="B96" s="85">
        <f>B44*$H56</f>
        <v>2424.2718446601943</v>
      </c>
      <c r="C96" s="85">
        <f t="shared" ref="C96:F96" si="6">C44*$H56</f>
        <v>2832.0388349514565</v>
      </c>
      <c r="D96" s="85">
        <f t="shared" si="6"/>
        <v>3239.8058252427186</v>
      </c>
      <c r="E96" s="85">
        <f t="shared" si="6"/>
        <v>3647.5728155339807</v>
      </c>
      <c r="F96" s="85">
        <f t="shared" si="6"/>
        <v>4055.3398058252428</v>
      </c>
    </row>
    <row r="97" spans="1:6">
      <c r="A97" s="89" t="s">
        <v>70</v>
      </c>
      <c r="B97" s="85">
        <f t="shared" ref="B97:F103" si="7">B45*$H57</f>
        <v>4293.5243661042514</v>
      </c>
      <c r="C97" s="85">
        <f t="shared" si="7"/>
        <v>5085.3049297766047</v>
      </c>
      <c r="D97" s="85">
        <f t="shared" si="7"/>
        <v>5877.085493448958</v>
      </c>
      <c r="E97" s="85">
        <f t="shared" si="7"/>
        <v>6668.8660571213122</v>
      </c>
      <c r="F97" s="85">
        <f t="shared" si="7"/>
        <v>7460.6466207936655</v>
      </c>
    </row>
    <row r="98" spans="1:6">
      <c r="A98" s="89" t="s">
        <v>71</v>
      </c>
      <c r="B98" s="85">
        <f t="shared" si="7"/>
        <v>6051.8317933024446</v>
      </c>
      <c r="C98" s="85">
        <f t="shared" si="7"/>
        <v>7204.9102840874257</v>
      </c>
      <c r="D98" s="85">
        <f t="shared" si="7"/>
        <v>8357.9887748724068</v>
      </c>
      <c r="E98" s="85">
        <f t="shared" si="7"/>
        <v>9511.0672656573879</v>
      </c>
      <c r="F98" s="85">
        <f t="shared" si="7"/>
        <v>10664.145756442369</v>
      </c>
    </row>
    <row r="99" spans="1:6">
      <c r="A99" s="89" t="s">
        <v>72</v>
      </c>
      <c r="B99" s="85">
        <f t="shared" si="7"/>
        <v>7704.0711924769394</v>
      </c>
      <c r="C99" s="85">
        <f t="shared" si="7"/>
        <v>9196.7294329752967</v>
      </c>
      <c r="D99" s="85">
        <f t="shared" si="7"/>
        <v>10689.387673473655</v>
      </c>
      <c r="E99" s="85">
        <f t="shared" si="7"/>
        <v>12182.045913972011</v>
      </c>
      <c r="F99" s="85">
        <f t="shared" si="7"/>
        <v>13674.70415447037</v>
      </c>
    </row>
    <row r="100" spans="1:6">
      <c r="A100" s="89" t="s">
        <v>73</v>
      </c>
      <c r="B100" s="85">
        <f t="shared" si="7"/>
        <v>9254.9296476576965</v>
      </c>
      <c r="C100" s="85">
        <f t="shared" si="7"/>
        <v>11066.40809486444</v>
      </c>
      <c r="D100" s="85">
        <f t="shared" si="7"/>
        <v>12877.886542071186</v>
      </c>
      <c r="E100" s="85">
        <f t="shared" si="7"/>
        <v>14689.36498927793</v>
      </c>
      <c r="F100" s="85">
        <f t="shared" si="7"/>
        <v>16500.843436484676</v>
      </c>
    </row>
    <row r="101" spans="1:6">
      <c r="A101" s="89" t="s">
        <v>74</v>
      </c>
      <c r="B101" s="85">
        <f t="shared" si="7"/>
        <v>10708.91119021389</v>
      </c>
      <c r="C101" s="85">
        <f t="shared" si="7"/>
        <v>12819.371517056699</v>
      </c>
      <c r="D101" s="85">
        <f t="shared" si="7"/>
        <v>14929.831843899508</v>
      </c>
      <c r="E101" s="85">
        <f t="shared" si="7"/>
        <v>17040.292170742316</v>
      </c>
      <c r="F101" s="85">
        <f t="shared" si="7"/>
        <v>19150.752497585127</v>
      </c>
    </row>
    <row r="102" spans="1:6">
      <c r="A102" s="89" t="s">
        <v>121</v>
      </c>
      <c r="B102" s="85">
        <f t="shared" si="7"/>
        <v>12070.343485892086</v>
      </c>
      <c r="C102" s="85">
        <f t="shared" si="7"/>
        <v>14460.832529241547</v>
      </c>
      <c r="D102" s="85">
        <f t="shared" si="7"/>
        <v>16851.321572591009</v>
      </c>
      <c r="E102" s="85">
        <f t="shared" si="7"/>
        <v>19241.810615940467</v>
      </c>
      <c r="F102" s="85">
        <f t="shared" si="7"/>
        <v>21632.299659289929</v>
      </c>
    </row>
    <row r="103" spans="1:6">
      <c r="A103" s="89" t="s">
        <v>122</v>
      </c>
      <c r="B103" s="85">
        <f t="shared" si="7"/>
        <v>13343.384287608456</v>
      </c>
      <c r="C103" s="85">
        <f t="shared" si="7"/>
        <v>15995.799314903279</v>
      </c>
      <c r="D103" s="85">
        <f t="shared" si="7"/>
        <v>18648.214342198105</v>
      </c>
      <c r="E103" s="85">
        <f t="shared" si="7"/>
        <v>21300.629369492926</v>
      </c>
      <c r="F103" s="85">
        <f t="shared" si="7"/>
        <v>23953.044396787751</v>
      </c>
    </row>
  </sheetData>
  <mergeCells count="11">
    <mergeCell ref="A2:C2"/>
    <mergeCell ref="A13:C13"/>
    <mergeCell ref="A23:C23"/>
    <mergeCell ref="A33:E33"/>
    <mergeCell ref="A43:D43"/>
    <mergeCell ref="A95:F95"/>
    <mergeCell ref="A54:E54"/>
    <mergeCell ref="G54:M54"/>
    <mergeCell ref="A65:E65"/>
    <mergeCell ref="A75:E75"/>
    <mergeCell ref="A85:F85"/>
  </mergeCells>
  <phoneticPr fontId="5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N102"/>
  <sheetViews>
    <sheetView view="pageLayout" topLeftCell="A53" zoomScale="75" workbookViewId="0">
      <selection activeCell="H83" sqref="H83"/>
    </sheetView>
  </sheetViews>
  <sheetFormatPr baseColWidth="10" defaultRowHeight="13"/>
  <sheetData>
    <row r="1" spans="1:6">
      <c r="A1" s="107" t="s">
        <v>187</v>
      </c>
      <c r="B1" s="107"/>
      <c r="C1" s="107"/>
    </row>
    <row r="2" spans="1:6">
      <c r="A2" s="73" t="s">
        <v>142</v>
      </c>
      <c r="B2" s="59" t="s">
        <v>50</v>
      </c>
      <c r="C2" s="59" t="s">
        <v>29</v>
      </c>
      <c r="D2" s="59" t="s">
        <v>135</v>
      </c>
      <c r="E2" s="59" t="s">
        <v>31</v>
      </c>
      <c r="F2" s="59" t="s">
        <v>32</v>
      </c>
    </row>
    <row r="3" spans="1:6">
      <c r="A3" s="59" t="s">
        <v>69</v>
      </c>
      <c r="B3" s="79">
        <v>2350</v>
      </c>
      <c r="C3" s="79">
        <v>2777</v>
      </c>
      <c r="D3" s="79">
        <v>3204</v>
      </c>
      <c r="E3" s="79">
        <v>3631</v>
      </c>
      <c r="F3" s="79">
        <v>4058</v>
      </c>
    </row>
    <row r="4" spans="1:6">
      <c r="A4" s="59" t="s">
        <v>70</v>
      </c>
      <c r="B4" s="79">
        <v>2244</v>
      </c>
      <c r="C4" s="79">
        <v>3098</v>
      </c>
      <c r="D4" s="79">
        <v>3952</v>
      </c>
      <c r="E4" s="79">
        <v>4806</v>
      </c>
      <c r="F4" s="79">
        <v>5660</v>
      </c>
    </row>
    <row r="5" spans="1:6">
      <c r="A5" s="59" t="s">
        <v>71</v>
      </c>
      <c r="B5" s="79">
        <v>2138</v>
      </c>
      <c r="C5" s="79">
        <v>3419</v>
      </c>
      <c r="D5" s="79">
        <v>4700</v>
      </c>
      <c r="E5" s="79">
        <v>5981</v>
      </c>
      <c r="F5" s="79">
        <v>7262</v>
      </c>
    </row>
    <row r="6" spans="1:6">
      <c r="A6" s="59" t="s">
        <v>72</v>
      </c>
      <c r="B6" s="79">
        <v>2032</v>
      </c>
      <c r="C6" s="79">
        <v>3740</v>
      </c>
      <c r="D6" s="79">
        <v>5448</v>
      </c>
      <c r="E6" s="79">
        <v>7156</v>
      </c>
      <c r="F6" s="79">
        <v>8864</v>
      </c>
    </row>
    <row r="7" spans="1:6">
      <c r="A7" s="59" t="s">
        <v>73</v>
      </c>
      <c r="B7" s="79">
        <v>1926</v>
      </c>
      <c r="C7" s="79">
        <v>4061</v>
      </c>
      <c r="D7" s="79">
        <v>6196</v>
      </c>
      <c r="E7" s="79">
        <v>8331</v>
      </c>
      <c r="F7" s="79">
        <v>10466</v>
      </c>
    </row>
    <row r="8" spans="1:6">
      <c r="A8" s="59" t="s">
        <v>74</v>
      </c>
      <c r="B8" s="79">
        <v>1820</v>
      </c>
      <c r="C8" s="79">
        <v>4382</v>
      </c>
      <c r="D8" s="79">
        <v>6944</v>
      </c>
      <c r="E8" s="79">
        <v>9506</v>
      </c>
      <c r="F8" s="79">
        <v>12068</v>
      </c>
    </row>
    <row r="9" spans="1:6">
      <c r="A9" s="59" t="s">
        <v>121</v>
      </c>
      <c r="B9" s="79">
        <v>1714</v>
      </c>
      <c r="C9" s="79">
        <v>4703</v>
      </c>
      <c r="D9" s="79">
        <v>7692</v>
      </c>
      <c r="E9" s="79">
        <v>10681</v>
      </c>
      <c r="F9" s="79">
        <v>13670</v>
      </c>
    </row>
    <row r="10" spans="1:6">
      <c r="A10" s="59" t="s">
        <v>122</v>
      </c>
      <c r="B10" s="79">
        <v>1608</v>
      </c>
      <c r="C10" s="79">
        <v>5024</v>
      </c>
      <c r="D10" s="79">
        <v>8440</v>
      </c>
      <c r="E10" s="79">
        <v>11856</v>
      </c>
      <c r="F10" s="79">
        <v>15272</v>
      </c>
    </row>
    <row r="12" spans="1:6">
      <c r="A12" s="107" t="s">
        <v>35</v>
      </c>
      <c r="B12" s="107"/>
      <c r="C12" s="107"/>
    </row>
    <row r="13" spans="1:6">
      <c r="A13" s="59" t="s">
        <v>69</v>
      </c>
      <c r="B13" s="83">
        <v>-9176</v>
      </c>
      <c r="C13" s="83">
        <v>-8895</v>
      </c>
      <c r="D13" s="83">
        <v>-8614</v>
      </c>
      <c r="E13" s="83">
        <v>-8333</v>
      </c>
      <c r="F13" s="83">
        <v>-8052</v>
      </c>
    </row>
    <row r="14" spans="1:6">
      <c r="A14" s="59" t="s">
        <v>70</v>
      </c>
      <c r="B14" s="83">
        <v>-8679</v>
      </c>
      <c r="C14" s="83">
        <v>-8116</v>
      </c>
      <c r="D14" s="83">
        <v>-7553</v>
      </c>
      <c r="E14" s="83">
        <v>-6990</v>
      </c>
      <c r="F14" s="83">
        <v>-6427</v>
      </c>
    </row>
    <row r="15" spans="1:6">
      <c r="A15" s="59" t="s">
        <v>71</v>
      </c>
      <c r="B15" s="83">
        <v>-8182</v>
      </c>
      <c r="C15" s="83">
        <v>-7337</v>
      </c>
      <c r="D15" s="83">
        <v>-6492</v>
      </c>
      <c r="E15" s="83">
        <v>-5647</v>
      </c>
      <c r="F15" s="83">
        <v>-4802</v>
      </c>
    </row>
    <row r="16" spans="1:6">
      <c r="A16" s="59" t="s">
        <v>72</v>
      </c>
      <c r="B16" s="83">
        <v>-7685</v>
      </c>
      <c r="C16" s="83">
        <v>-6558</v>
      </c>
      <c r="D16" s="83">
        <v>-5431</v>
      </c>
      <c r="E16" s="83">
        <v>-4304</v>
      </c>
      <c r="F16" s="83">
        <v>-3177</v>
      </c>
    </row>
    <row r="17" spans="1:6">
      <c r="A17" s="59" t="s">
        <v>73</v>
      </c>
      <c r="B17" s="83">
        <v>-7188</v>
      </c>
      <c r="C17" s="83">
        <v>-5779</v>
      </c>
      <c r="D17" s="83">
        <v>-4370</v>
      </c>
      <c r="E17" s="83">
        <v>-2961</v>
      </c>
      <c r="F17" s="83">
        <v>-1552</v>
      </c>
    </row>
    <row r="18" spans="1:6">
      <c r="A18" s="59" t="s">
        <v>74</v>
      </c>
      <c r="B18" s="83">
        <v>-6691</v>
      </c>
      <c r="C18" s="83">
        <v>-5000</v>
      </c>
      <c r="D18" s="83">
        <v>-3309</v>
      </c>
      <c r="E18" s="83">
        <v>-1618</v>
      </c>
      <c r="F18" s="85">
        <v>73</v>
      </c>
    </row>
    <row r="19" spans="1:6">
      <c r="A19" s="59" t="s">
        <v>121</v>
      </c>
      <c r="B19" s="83">
        <v>-6194</v>
      </c>
      <c r="C19" s="83">
        <v>-4221</v>
      </c>
      <c r="D19" s="83">
        <v>-2248</v>
      </c>
      <c r="E19" s="83">
        <v>-275</v>
      </c>
      <c r="F19" s="85">
        <v>1698</v>
      </c>
    </row>
    <row r="20" spans="1:6">
      <c r="A20" s="59" t="s">
        <v>122</v>
      </c>
      <c r="B20" s="83">
        <v>-5697</v>
      </c>
      <c r="C20" s="83">
        <v>-3442</v>
      </c>
      <c r="D20" s="83">
        <v>-1187</v>
      </c>
      <c r="E20" s="85">
        <v>1068</v>
      </c>
      <c r="F20" s="85">
        <v>3323</v>
      </c>
    </row>
    <row r="22" spans="1:6">
      <c r="A22" s="107" t="s">
        <v>36</v>
      </c>
      <c r="B22" s="107"/>
      <c r="C22" s="107"/>
    </row>
    <row r="23" spans="1:6">
      <c r="A23" s="59" t="s">
        <v>69</v>
      </c>
      <c r="B23" s="79">
        <v>-41</v>
      </c>
      <c r="C23" s="79">
        <v>142</v>
      </c>
      <c r="D23" s="79">
        <v>325</v>
      </c>
      <c r="E23" s="79">
        <v>508</v>
      </c>
      <c r="F23" s="79">
        <v>691</v>
      </c>
    </row>
    <row r="24" spans="1:6">
      <c r="A24" s="59" t="s">
        <v>70</v>
      </c>
      <c r="B24" s="79">
        <v>177</v>
      </c>
      <c r="C24" s="79">
        <v>544</v>
      </c>
      <c r="D24" s="79">
        <v>911</v>
      </c>
      <c r="E24" s="79">
        <v>1278</v>
      </c>
      <c r="F24" s="79">
        <v>1645</v>
      </c>
    </row>
    <row r="25" spans="1:6">
      <c r="A25" s="59" t="s">
        <v>71</v>
      </c>
      <c r="B25" s="79">
        <v>395</v>
      </c>
      <c r="C25" s="79">
        <v>946</v>
      </c>
      <c r="D25" s="79">
        <v>1497</v>
      </c>
      <c r="E25" s="79">
        <v>2048</v>
      </c>
      <c r="F25" s="79">
        <v>2599</v>
      </c>
    </row>
    <row r="26" spans="1:6">
      <c r="A26" s="59" t="s">
        <v>72</v>
      </c>
      <c r="B26" s="79">
        <v>613</v>
      </c>
      <c r="C26" s="79">
        <v>1348</v>
      </c>
      <c r="D26" s="79">
        <v>2083</v>
      </c>
      <c r="E26" s="79">
        <v>2818</v>
      </c>
      <c r="F26" s="79">
        <v>3553</v>
      </c>
    </row>
    <row r="27" spans="1:6">
      <c r="A27" s="59" t="s">
        <v>73</v>
      </c>
      <c r="B27" s="79">
        <v>831</v>
      </c>
      <c r="C27" s="79">
        <v>1750</v>
      </c>
      <c r="D27" s="79">
        <v>2669</v>
      </c>
      <c r="E27" s="79">
        <v>3588</v>
      </c>
      <c r="F27" s="79">
        <v>4507</v>
      </c>
    </row>
    <row r="28" spans="1:6">
      <c r="A28" s="59" t="s">
        <v>74</v>
      </c>
      <c r="B28" s="79">
        <v>1049</v>
      </c>
      <c r="C28" s="79">
        <v>2152</v>
      </c>
      <c r="D28" s="79">
        <v>3255</v>
      </c>
      <c r="E28" s="79">
        <v>4358</v>
      </c>
      <c r="F28" s="79">
        <v>5461</v>
      </c>
    </row>
    <row r="29" spans="1:6">
      <c r="A29" s="59" t="s">
        <v>121</v>
      </c>
      <c r="B29" s="79">
        <v>1267</v>
      </c>
      <c r="C29" s="79">
        <v>2554</v>
      </c>
      <c r="D29" s="79">
        <v>3841</v>
      </c>
      <c r="E29" s="79">
        <v>5128</v>
      </c>
      <c r="F29" s="79">
        <v>6415</v>
      </c>
    </row>
    <row r="30" spans="1:6">
      <c r="A30" s="59" t="s">
        <v>122</v>
      </c>
      <c r="B30" s="79">
        <v>1485</v>
      </c>
      <c r="C30" s="79">
        <v>2956</v>
      </c>
      <c r="D30" s="79">
        <v>4427</v>
      </c>
      <c r="E30" s="79">
        <v>5898</v>
      </c>
      <c r="F30" s="79">
        <v>7369</v>
      </c>
    </row>
    <row r="31" spans="1:6">
      <c r="A31" s="59"/>
      <c r="B31" s="9"/>
      <c r="C31" s="9"/>
      <c r="D31" s="9"/>
      <c r="E31" s="9"/>
      <c r="F31" s="9"/>
    </row>
    <row r="32" spans="1:6">
      <c r="A32" s="107" t="s">
        <v>67</v>
      </c>
      <c r="B32" s="107"/>
      <c r="C32" s="107"/>
      <c r="D32" s="107"/>
      <c r="E32" s="107"/>
    </row>
    <row r="33" spans="1:6">
      <c r="A33" s="59" t="s">
        <v>69</v>
      </c>
      <c r="B33" s="79">
        <v>460</v>
      </c>
      <c r="C33" s="79">
        <v>828</v>
      </c>
      <c r="D33" s="79">
        <v>1196</v>
      </c>
      <c r="E33" s="79">
        <v>1564</v>
      </c>
      <c r="F33" s="79">
        <v>1932</v>
      </c>
    </row>
    <row r="34" spans="1:6">
      <c r="A34" s="59" t="s">
        <v>70</v>
      </c>
      <c r="B34" s="79">
        <v>1324</v>
      </c>
      <c r="C34" s="79">
        <v>2061</v>
      </c>
      <c r="D34" s="79">
        <v>2798</v>
      </c>
      <c r="E34" s="79">
        <v>3535</v>
      </c>
      <c r="F34" s="79">
        <v>4272</v>
      </c>
    </row>
    <row r="35" spans="1:6">
      <c r="A35" s="59" t="s">
        <v>71</v>
      </c>
      <c r="B35" s="79">
        <v>2188</v>
      </c>
      <c r="C35" s="79">
        <v>3294</v>
      </c>
      <c r="D35" s="79">
        <v>4400</v>
      </c>
      <c r="E35" s="79">
        <v>5506</v>
      </c>
      <c r="F35" s="79">
        <v>6612</v>
      </c>
    </row>
    <row r="36" spans="1:6">
      <c r="A36" s="59" t="s">
        <v>72</v>
      </c>
      <c r="B36" s="79">
        <v>3052</v>
      </c>
      <c r="C36" s="79">
        <v>4527</v>
      </c>
      <c r="D36" s="79">
        <v>6002</v>
      </c>
      <c r="E36" s="79">
        <v>7477</v>
      </c>
      <c r="F36" s="79">
        <v>8952</v>
      </c>
    </row>
    <row r="37" spans="1:6">
      <c r="A37" s="59" t="s">
        <v>73</v>
      </c>
      <c r="B37" s="79">
        <v>3916</v>
      </c>
      <c r="C37" s="79">
        <v>5760</v>
      </c>
      <c r="D37" s="79">
        <v>7604</v>
      </c>
      <c r="E37" s="79">
        <v>9448</v>
      </c>
      <c r="F37" s="79">
        <v>11292</v>
      </c>
    </row>
    <row r="38" spans="1:6">
      <c r="A38" s="59" t="s">
        <v>74</v>
      </c>
      <c r="B38" s="79">
        <v>4780</v>
      </c>
      <c r="C38" s="79">
        <v>6993</v>
      </c>
      <c r="D38" s="79">
        <v>9206</v>
      </c>
      <c r="E38" s="79">
        <v>11419</v>
      </c>
      <c r="F38" s="79">
        <v>13632</v>
      </c>
    </row>
    <row r="39" spans="1:6">
      <c r="A39" s="59" t="s">
        <v>121</v>
      </c>
      <c r="B39" s="79">
        <v>5644</v>
      </c>
      <c r="C39" s="79">
        <v>8226</v>
      </c>
      <c r="D39" s="79">
        <v>10808</v>
      </c>
      <c r="E39" s="79">
        <v>13390</v>
      </c>
      <c r="F39" s="79">
        <v>15972</v>
      </c>
    </row>
    <row r="40" spans="1:6">
      <c r="A40" s="59" t="s">
        <v>122</v>
      </c>
      <c r="B40" s="79">
        <v>6508</v>
      </c>
      <c r="C40" s="79">
        <v>9459</v>
      </c>
      <c r="D40" s="79">
        <v>12410</v>
      </c>
      <c r="E40" s="79">
        <v>15361</v>
      </c>
      <c r="F40" s="79">
        <v>18312</v>
      </c>
    </row>
    <row r="41" spans="1:6">
      <c r="A41" s="59"/>
      <c r="B41" s="9"/>
      <c r="C41" s="9"/>
      <c r="D41" s="9"/>
      <c r="E41" s="9"/>
      <c r="F41" s="9"/>
    </row>
    <row r="42" spans="1:6">
      <c r="A42" s="108" t="s">
        <v>180</v>
      </c>
      <c r="B42" s="108"/>
      <c r="C42" s="108"/>
      <c r="D42" s="108"/>
      <c r="E42" s="9"/>
      <c r="F42" s="9"/>
    </row>
    <row r="43" spans="1:6">
      <c r="A43" s="59" t="s">
        <v>69</v>
      </c>
      <c r="B43" s="79">
        <v>1785</v>
      </c>
      <c r="C43" s="79">
        <v>2266</v>
      </c>
      <c r="D43" s="79">
        <v>2747</v>
      </c>
      <c r="E43" s="79">
        <v>3228</v>
      </c>
      <c r="F43" s="79">
        <v>3709</v>
      </c>
    </row>
    <row r="44" spans="1:6">
      <c r="A44" s="59" t="s">
        <v>70</v>
      </c>
      <c r="B44" s="79">
        <v>3132</v>
      </c>
      <c r="C44" s="79">
        <v>4093</v>
      </c>
      <c r="D44" s="79">
        <v>5054</v>
      </c>
      <c r="E44" s="79">
        <v>6015</v>
      </c>
      <c r="F44" s="79">
        <v>6976</v>
      </c>
    </row>
    <row r="45" spans="1:6">
      <c r="A45" s="59" t="s">
        <v>71</v>
      </c>
      <c r="B45" s="79">
        <v>4479</v>
      </c>
      <c r="C45" s="79">
        <v>5920</v>
      </c>
      <c r="D45" s="79">
        <v>7361</v>
      </c>
      <c r="E45" s="79">
        <v>8802</v>
      </c>
      <c r="F45" s="79">
        <v>10243</v>
      </c>
    </row>
    <row r="46" spans="1:6">
      <c r="A46" s="59" t="s">
        <v>72</v>
      </c>
      <c r="B46" s="79">
        <v>5826</v>
      </c>
      <c r="C46" s="79">
        <v>7747</v>
      </c>
      <c r="D46" s="79">
        <v>9668</v>
      </c>
      <c r="E46" s="79">
        <v>11589</v>
      </c>
      <c r="F46" s="79">
        <v>13510</v>
      </c>
    </row>
    <row r="47" spans="1:6">
      <c r="A47" s="59" t="s">
        <v>73</v>
      </c>
      <c r="B47" s="79">
        <v>7173</v>
      </c>
      <c r="C47" s="79">
        <v>9574</v>
      </c>
      <c r="D47" s="79">
        <v>11975</v>
      </c>
      <c r="E47" s="79">
        <v>14376</v>
      </c>
      <c r="F47" s="79">
        <v>16777</v>
      </c>
    </row>
    <row r="48" spans="1:6">
      <c r="A48" s="59" t="s">
        <v>74</v>
      </c>
      <c r="B48" s="79">
        <v>8520</v>
      </c>
      <c r="C48" s="79">
        <v>11401</v>
      </c>
      <c r="D48" s="79">
        <v>14282</v>
      </c>
      <c r="E48" s="79">
        <v>17163</v>
      </c>
      <c r="F48" s="79">
        <v>20044</v>
      </c>
    </row>
    <row r="49" spans="1:14">
      <c r="A49" s="59" t="s">
        <v>121</v>
      </c>
      <c r="B49" s="79">
        <v>9867</v>
      </c>
      <c r="C49" s="79">
        <v>13228</v>
      </c>
      <c r="D49" s="79">
        <v>16589</v>
      </c>
      <c r="E49" s="79">
        <v>19950</v>
      </c>
      <c r="F49" s="79">
        <v>23311</v>
      </c>
    </row>
    <row r="50" spans="1:14">
      <c r="A50" s="59" t="s">
        <v>122</v>
      </c>
      <c r="B50" s="79">
        <v>11214</v>
      </c>
      <c r="C50" s="79">
        <v>15055</v>
      </c>
      <c r="D50" s="79">
        <v>18896</v>
      </c>
      <c r="E50" s="79">
        <v>22737</v>
      </c>
      <c r="F50" s="79">
        <v>26578</v>
      </c>
    </row>
    <row r="53" spans="1:14">
      <c r="A53" s="107" t="s">
        <v>232</v>
      </c>
      <c r="B53" s="107"/>
      <c r="C53" s="107"/>
      <c r="D53" s="107"/>
      <c r="E53" s="107"/>
      <c r="H53" s="106" t="s">
        <v>226</v>
      </c>
      <c r="I53" s="106"/>
      <c r="J53" s="106"/>
      <c r="K53" s="106"/>
      <c r="L53" s="106"/>
      <c r="M53" s="106"/>
      <c r="N53" s="106"/>
    </row>
    <row r="54" spans="1:14">
      <c r="A54" s="89" t="s">
        <v>143</v>
      </c>
      <c r="B54" s="89" t="s">
        <v>50</v>
      </c>
      <c r="C54" s="89" t="s">
        <v>29</v>
      </c>
      <c r="D54" s="89" t="s">
        <v>135</v>
      </c>
      <c r="E54" s="89" t="s">
        <v>31</v>
      </c>
      <c r="F54" s="89" t="s">
        <v>32</v>
      </c>
      <c r="H54" s="89" t="s">
        <v>224</v>
      </c>
      <c r="I54" s="89"/>
      <c r="J54" s="89"/>
      <c r="K54" s="89"/>
    </row>
    <row r="55" spans="1:14">
      <c r="A55" s="89" t="s">
        <v>69</v>
      </c>
      <c r="B55" s="85">
        <f>B3*$I55</f>
        <v>2281.5533980582522</v>
      </c>
      <c r="C55" s="85">
        <f t="shared" ref="C55:F55" si="0">C3*$I55</f>
        <v>2696.1165048543689</v>
      </c>
      <c r="D55" s="85">
        <f t="shared" si="0"/>
        <v>3110.6796116504856</v>
      </c>
      <c r="E55" s="85">
        <f t="shared" si="0"/>
        <v>3525.2427184466019</v>
      </c>
      <c r="F55" s="85">
        <f t="shared" si="0"/>
        <v>3939.8058252427186</v>
      </c>
      <c r="H55" s="89">
        <v>1</v>
      </c>
      <c r="I55">
        <f>1/(1+0.03)</f>
        <v>0.970873786407767</v>
      </c>
      <c r="K55" s="89"/>
    </row>
    <row r="56" spans="1:14">
      <c r="A56" s="89" t="s">
        <v>70</v>
      </c>
      <c r="B56" s="85">
        <f t="shared" ref="B56:F62" si="1">B4*$I56</f>
        <v>2115.1852200961448</v>
      </c>
      <c r="C56" s="85">
        <f t="shared" si="1"/>
        <v>2920.162126496371</v>
      </c>
      <c r="D56" s="85">
        <f t="shared" si="1"/>
        <v>3725.1390328965972</v>
      </c>
      <c r="E56" s="85">
        <f t="shared" si="1"/>
        <v>4530.1159392968239</v>
      </c>
      <c r="F56" s="85">
        <f t="shared" si="1"/>
        <v>5335.0928456970496</v>
      </c>
      <c r="H56" s="89">
        <v>2</v>
      </c>
      <c r="I56">
        <f>1/(1+0.03)^2</f>
        <v>0.94259590913375435</v>
      </c>
      <c r="K56" s="89"/>
    </row>
    <row r="57" spans="1:14">
      <c r="A57" s="89" t="s">
        <v>71</v>
      </c>
      <c r="B57" s="85">
        <f t="shared" si="1"/>
        <v>1956.5728676970552</v>
      </c>
      <c r="C57" s="85">
        <f t="shared" si="1"/>
        <v>3128.8693333284527</v>
      </c>
      <c r="D57" s="85">
        <f t="shared" si="1"/>
        <v>4301.1657989598498</v>
      </c>
      <c r="E57" s="85">
        <f t="shared" si="1"/>
        <v>5473.4622645912477</v>
      </c>
      <c r="F57" s="85">
        <f t="shared" si="1"/>
        <v>6645.7587302226448</v>
      </c>
      <c r="H57" s="89">
        <v>3</v>
      </c>
      <c r="I57">
        <f>1/(1+0.03)^3</f>
        <v>0.91514165935315961</v>
      </c>
      <c r="K57" s="89"/>
    </row>
    <row r="58" spans="1:14">
      <c r="A58" s="89" t="s">
        <v>72</v>
      </c>
      <c r="B58" s="85">
        <f t="shared" si="1"/>
        <v>1805.40568136468</v>
      </c>
      <c r="C58" s="85">
        <f t="shared" si="1"/>
        <v>3322.9415592046767</v>
      </c>
      <c r="D58" s="85">
        <f t="shared" si="1"/>
        <v>4840.4774370446739</v>
      </c>
      <c r="E58" s="85">
        <f t="shared" si="1"/>
        <v>6358.0133148846708</v>
      </c>
      <c r="F58" s="85">
        <f t="shared" si="1"/>
        <v>7875.5491927246676</v>
      </c>
      <c r="H58" s="89">
        <v>4</v>
      </c>
      <c r="I58">
        <f>1/(1+0.03)^4</f>
        <v>0.888487047915689</v>
      </c>
      <c r="K58" s="89"/>
    </row>
    <row r="59" spans="1:14">
      <c r="A59" s="89" t="s">
        <v>73</v>
      </c>
      <c r="B59" s="85">
        <f t="shared" si="1"/>
        <v>1661.3845187239001</v>
      </c>
      <c r="C59" s="85">
        <f t="shared" si="1"/>
        <v>3503.0542733840903</v>
      </c>
      <c r="D59" s="85">
        <f t="shared" si="1"/>
        <v>5344.7240280442811</v>
      </c>
      <c r="E59" s="85">
        <f t="shared" si="1"/>
        <v>7186.3937827044711</v>
      </c>
      <c r="F59" s="85">
        <f t="shared" si="1"/>
        <v>9028.0635373646619</v>
      </c>
      <c r="H59" s="89">
        <v>5</v>
      </c>
      <c r="I59">
        <f>1/(1+0.03)^5</f>
        <v>0.86260878438416411</v>
      </c>
      <c r="K59" s="91"/>
    </row>
    <row r="60" spans="1:14">
      <c r="A60" s="89" t="s">
        <v>74</v>
      </c>
      <c r="B60" s="85">
        <f t="shared" si="1"/>
        <v>1524.221347164251</v>
      </c>
      <c r="C60" s="85">
        <f t="shared" si="1"/>
        <v>3669.8560127877736</v>
      </c>
      <c r="D60" s="85">
        <f t="shared" si="1"/>
        <v>5815.4906784112964</v>
      </c>
      <c r="E60" s="85">
        <f t="shared" si="1"/>
        <v>7961.1253440348191</v>
      </c>
      <c r="F60" s="85">
        <f t="shared" si="1"/>
        <v>10106.760009658341</v>
      </c>
      <c r="H60" s="89">
        <v>6</v>
      </c>
      <c r="I60">
        <f>1/(1+0.03)^6</f>
        <v>0.83748425668365445</v>
      </c>
      <c r="K60" s="91"/>
    </row>
    <row r="61" spans="1:14">
      <c r="A61" s="89" t="s">
        <v>121</v>
      </c>
      <c r="B61" s="85">
        <f t="shared" si="1"/>
        <v>1393.6388504425083</v>
      </c>
      <c r="C61" s="85">
        <f t="shared" si="1"/>
        <v>3823.9693778477927</v>
      </c>
      <c r="D61" s="85">
        <f t="shared" si="1"/>
        <v>6254.2999052530777</v>
      </c>
      <c r="E61" s="85">
        <f t="shared" si="1"/>
        <v>8684.6304326583613</v>
      </c>
      <c r="F61" s="85">
        <f t="shared" si="1"/>
        <v>11114.960960063647</v>
      </c>
      <c r="H61" s="89">
        <v>7</v>
      </c>
      <c r="I61">
        <f>1/(1+0.03)^7</f>
        <v>0.81309151134335378</v>
      </c>
      <c r="K61" s="91"/>
    </row>
    <row r="62" spans="1:14">
      <c r="A62" s="89" t="s">
        <v>145</v>
      </c>
      <c r="B62" s="85">
        <f t="shared" si="1"/>
        <v>1269.3700487768087</v>
      </c>
      <c r="C62" s="85">
        <f t="shared" si="1"/>
        <v>3965.9919931932131</v>
      </c>
      <c r="D62" s="85">
        <f t="shared" si="1"/>
        <v>6662.6139376096171</v>
      </c>
      <c r="E62" s="85">
        <f t="shared" si="1"/>
        <v>9359.2358820260215</v>
      </c>
      <c r="F62" s="85">
        <f t="shared" si="1"/>
        <v>12055.857826442427</v>
      </c>
      <c r="H62" s="89">
        <v>8</v>
      </c>
      <c r="I62">
        <f>1/(1+0.03)^8</f>
        <v>0.78940923431393573</v>
      </c>
      <c r="K62" s="91"/>
    </row>
    <row r="64" spans="1:14">
      <c r="A64" s="107" t="s">
        <v>233</v>
      </c>
      <c r="B64" s="107"/>
      <c r="C64" s="107"/>
      <c r="D64" s="107"/>
      <c r="E64" s="107"/>
    </row>
    <row r="65" spans="1:6">
      <c r="A65" s="89" t="s">
        <v>69</v>
      </c>
      <c r="B65" s="94">
        <v>-8909</v>
      </c>
      <c r="C65" s="94">
        <v>-8636</v>
      </c>
      <c r="D65" s="94">
        <v>-8363</v>
      </c>
      <c r="E65" s="94">
        <v>-8090</v>
      </c>
      <c r="F65" s="94">
        <v>-7817</v>
      </c>
    </row>
    <row r="66" spans="1:6">
      <c r="A66" s="89" t="s">
        <v>70</v>
      </c>
      <c r="B66" s="94">
        <v>-8181</v>
      </c>
      <c r="C66" s="94">
        <v>-7650</v>
      </c>
      <c r="D66" s="94">
        <v>-7119</v>
      </c>
      <c r="E66" s="94">
        <v>-6589</v>
      </c>
      <c r="F66" s="94">
        <v>-6058</v>
      </c>
    </row>
    <row r="67" spans="1:6">
      <c r="A67" s="89" t="s">
        <v>71</v>
      </c>
      <c r="B67" s="94">
        <v>-7488</v>
      </c>
      <c r="C67" s="94">
        <v>-6714</v>
      </c>
      <c r="D67" s="94">
        <v>-5941</v>
      </c>
      <c r="E67" s="94">
        <v>-5168</v>
      </c>
      <c r="F67" s="94">
        <v>-4395</v>
      </c>
    </row>
    <row r="68" spans="1:6">
      <c r="A68" s="89" t="s">
        <v>72</v>
      </c>
      <c r="B68" s="94">
        <v>-6828</v>
      </c>
      <c r="C68" s="94">
        <v>-5827</v>
      </c>
      <c r="D68" s="94">
        <v>-4825</v>
      </c>
      <c r="E68" s="94">
        <v>-3824</v>
      </c>
      <c r="F68" s="94">
        <v>-2823</v>
      </c>
    </row>
    <row r="69" spans="1:6">
      <c r="A69" s="89" t="s">
        <v>73</v>
      </c>
      <c r="B69" s="94">
        <v>-6200</v>
      </c>
      <c r="C69" s="94">
        <v>-4985</v>
      </c>
      <c r="D69" s="94">
        <v>-3770</v>
      </c>
      <c r="E69" s="94">
        <v>-2554</v>
      </c>
      <c r="F69" s="94">
        <v>-1339</v>
      </c>
    </row>
    <row r="70" spans="1:6">
      <c r="A70" s="89" t="s">
        <v>74</v>
      </c>
      <c r="B70" s="94">
        <v>-5604</v>
      </c>
      <c r="C70" s="94">
        <v>-4187</v>
      </c>
      <c r="D70" s="94">
        <v>-2771</v>
      </c>
      <c r="E70" s="94">
        <v>-1355</v>
      </c>
      <c r="F70" s="95">
        <v>61</v>
      </c>
    </row>
    <row r="71" spans="1:6">
      <c r="A71" s="89" t="s">
        <v>121</v>
      </c>
      <c r="B71" s="94">
        <v>-5036</v>
      </c>
      <c r="C71" s="94">
        <v>-3432</v>
      </c>
      <c r="D71" s="94">
        <v>-1828</v>
      </c>
      <c r="E71" s="94">
        <v>-224</v>
      </c>
      <c r="F71" s="92">
        <v>1381</v>
      </c>
    </row>
    <row r="72" spans="1:6">
      <c r="A72" s="89" t="s">
        <v>122</v>
      </c>
      <c r="B72" s="94">
        <v>-4497</v>
      </c>
      <c r="C72" s="94">
        <v>-2717</v>
      </c>
      <c r="D72" s="94">
        <v>-937</v>
      </c>
      <c r="E72" s="92">
        <v>834</v>
      </c>
      <c r="F72" s="92">
        <v>2623</v>
      </c>
    </row>
    <row r="74" spans="1:6">
      <c r="A74" s="107" t="s">
        <v>234</v>
      </c>
      <c r="B74" s="107"/>
      <c r="C74" s="107"/>
      <c r="D74" s="107"/>
      <c r="E74" s="107"/>
    </row>
    <row r="75" spans="1:6">
      <c r="A75" s="89" t="s">
        <v>69</v>
      </c>
      <c r="B75" s="87" t="s">
        <v>236</v>
      </c>
      <c r="C75" s="85">
        <f t="shared" ref="C75:F75" si="2">C23*$I55</f>
        <v>137.86407766990291</v>
      </c>
      <c r="D75" s="85">
        <f t="shared" si="2"/>
        <v>315.53398058252429</v>
      </c>
      <c r="E75" s="85">
        <f t="shared" si="2"/>
        <v>493.20388349514565</v>
      </c>
      <c r="F75" s="85">
        <f t="shared" si="2"/>
        <v>670.87378640776694</v>
      </c>
    </row>
    <row r="76" spans="1:6">
      <c r="A76" s="89" t="s">
        <v>70</v>
      </c>
      <c r="B76" s="85">
        <f t="shared" ref="B76:F82" si="3">B24*$I56</f>
        <v>166.83947591667453</v>
      </c>
      <c r="C76" s="85">
        <f t="shared" si="3"/>
        <v>512.77217456876235</v>
      </c>
      <c r="D76" s="85">
        <f t="shared" si="3"/>
        <v>858.70487322085023</v>
      </c>
      <c r="E76" s="85">
        <f t="shared" si="3"/>
        <v>1204.637571872938</v>
      </c>
      <c r="F76" s="85">
        <f t="shared" si="3"/>
        <v>1550.570270525026</v>
      </c>
    </row>
    <row r="77" spans="1:6">
      <c r="A77" s="89" t="s">
        <v>71</v>
      </c>
      <c r="B77" s="85">
        <f t="shared" si="3"/>
        <v>361.48095544449802</v>
      </c>
      <c r="C77" s="85">
        <f t="shared" si="3"/>
        <v>865.72400974808897</v>
      </c>
      <c r="D77" s="85">
        <f t="shared" si="3"/>
        <v>1369.9670640516799</v>
      </c>
      <c r="E77" s="85">
        <f t="shared" si="3"/>
        <v>1874.2101183552709</v>
      </c>
      <c r="F77" s="85">
        <f t="shared" si="3"/>
        <v>2378.4531726588616</v>
      </c>
    </row>
    <row r="78" spans="1:6">
      <c r="A78" s="89" t="s">
        <v>72</v>
      </c>
      <c r="B78" s="85">
        <f t="shared" si="3"/>
        <v>544.64256037231735</v>
      </c>
      <c r="C78" s="85">
        <f t="shared" si="3"/>
        <v>1197.6805405903488</v>
      </c>
      <c r="D78" s="85">
        <f t="shared" si="3"/>
        <v>1850.7185208083802</v>
      </c>
      <c r="E78" s="85">
        <f t="shared" si="3"/>
        <v>2503.7565010264116</v>
      </c>
      <c r="F78" s="85">
        <f t="shared" si="3"/>
        <v>3156.794481244443</v>
      </c>
    </row>
    <row r="79" spans="1:6">
      <c r="A79" s="89" t="s">
        <v>73</v>
      </c>
      <c r="B79" s="85">
        <f t="shared" si="3"/>
        <v>716.82789982324039</v>
      </c>
      <c r="C79" s="85">
        <f t="shared" si="3"/>
        <v>1509.5653726722871</v>
      </c>
      <c r="D79" s="85">
        <f t="shared" si="3"/>
        <v>2302.3028455213339</v>
      </c>
      <c r="E79" s="85">
        <f t="shared" si="3"/>
        <v>3095.0403183703806</v>
      </c>
      <c r="F79" s="85">
        <f t="shared" si="3"/>
        <v>3887.7777912194279</v>
      </c>
    </row>
    <row r="80" spans="1:6">
      <c r="A80" s="89" t="s">
        <v>74</v>
      </c>
      <c r="B80" s="85">
        <f t="shared" si="3"/>
        <v>878.52098526115356</v>
      </c>
      <c r="C80" s="85">
        <f t="shared" si="3"/>
        <v>1802.2661203832245</v>
      </c>
      <c r="D80" s="85">
        <f t="shared" si="3"/>
        <v>2726.0112555052951</v>
      </c>
      <c r="E80" s="85">
        <f t="shared" si="3"/>
        <v>3649.7563906273663</v>
      </c>
      <c r="F80" s="85">
        <f t="shared" si="3"/>
        <v>4573.501525749437</v>
      </c>
    </row>
    <row r="81" spans="1:7">
      <c r="A81" s="89" t="s">
        <v>121</v>
      </c>
      <c r="B81" s="85">
        <f t="shared" si="3"/>
        <v>1030.1869448720292</v>
      </c>
      <c r="C81" s="85">
        <f t="shared" si="3"/>
        <v>2076.6357199709255</v>
      </c>
      <c r="D81" s="85">
        <f t="shared" si="3"/>
        <v>3123.084495069822</v>
      </c>
      <c r="E81" s="85">
        <f t="shared" si="3"/>
        <v>4169.5332701687184</v>
      </c>
      <c r="F81" s="85">
        <f t="shared" si="3"/>
        <v>5215.9820452676149</v>
      </c>
    </row>
    <row r="82" spans="1:7">
      <c r="A82" s="89" t="s">
        <v>122</v>
      </c>
      <c r="B82" s="85">
        <f t="shared" si="3"/>
        <v>1172.2727129561945</v>
      </c>
      <c r="C82" s="85">
        <f t="shared" si="3"/>
        <v>2333.4936966319942</v>
      </c>
      <c r="D82" s="85">
        <f t="shared" si="3"/>
        <v>3494.7146803077935</v>
      </c>
      <c r="E82" s="85">
        <f t="shared" si="3"/>
        <v>4655.9356639835933</v>
      </c>
      <c r="F82" s="85">
        <f t="shared" si="3"/>
        <v>5817.1566476593925</v>
      </c>
    </row>
    <row r="83" spans="1:7">
      <c r="A83" s="89"/>
      <c r="B83" s="9"/>
      <c r="C83" s="9"/>
      <c r="D83" s="9"/>
      <c r="E83" s="9"/>
      <c r="F83" s="9"/>
    </row>
    <row r="84" spans="1:7">
      <c r="A84" s="107" t="s">
        <v>176</v>
      </c>
      <c r="B84" s="107"/>
      <c r="C84" s="107"/>
      <c r="D84" s="107"/>
      <c r="E84" s="107"/>
      <c r="F84" s="107"/>
      <c r="G84" s="107"/>
    </row>
    <row r="85" spans="1:7">
      <c r="A85" s="89" t="s">
        <v>69</v>
      </c>
      <c r="B85" s="85">
        <f>B33*$I55</f>
        <v>446.60194174757282</v>
      </c>
      <c r="C85" s="85">
        <f t="shared" ref="C85:F85" si="4">C33*$I55</f>
        <v>803.88349514563106</v>
      </c>
      <c r="D85" s="85">
        <f t="shared" si="4"/>
        <v>1161.1650485436894</v>
      </c>
      <c r="E85" s="85">
        <f t="shared" si="4"/>
        <v>1518.4466019417475</v>
      </c>
      <c r="F85" s="85">
        <f t="shared" si="4"/>
        <v>1875.7281553398059</v>
      </c>
    </row>
    <row r="86" spans="1:7">
      <c r="A86" s="89" t="s">
        <v>70</v>
      </c>
      <c r="B86" s="85">
        <f t="shared" ref="B86:F92" si="5">B34*$I56</f>
        <v>1247.9969836930907</v>
      </c>
      <c r="C86" s="85">
        <f t="shared" si="5"/>
        <v>1942.6901687246677</v>
      </c>
      <c r="D86" s="85">
        <f t="shared" si="5"/>
        <v>2637.3833537562446</v>
      </c>
      <c r="E86" s="85">
        <f t="shared" si="5"/>
        <v>3332.0765387878218</v>
      </c>
      <c r="F86" s="85">
        <f t="shared" si="5"/>
        <v>4026.7697238193987</v>
      </c>
    </row>
    <row r="87" spans="1:7">
      <c r="A87" s="89" t="s">
        <v>71</v>
      </c>
      <c r="B87" s="85">
        <f t="shared" si="5"/>
        <v>2002.3299506647131</v>
      </c>
      <c r="C87" s="85">
        <f t="shared" si="5"/>
        <v>3014.4766259093076</v>
      </c>
      <c r="D87" s="85">
        <f t="shared" si="5"/>
        <v>4026.6233011539025</v>
      </c>
      <c r="E87" s="85">
        <f t="shared" si="5"/>
        <v>5038.7699763984965</v>
      </c>
      <c r="F87" s="85">
        <f t="shared" si="5"/>
        <v>6050.9166516430914</v>
      </c>
    </row>
    <row r="88" spans="1:7">
      <c r="A88" s="89" t="s">
        <v>72</v>
      </c>
      <c r="B88" s="85">
        <f t="shared" si="5"/>
        <v>2711.662470238683</v>
      </c>
      <c r="C88" s="85">
        <f t="shared" si="5"/>
        <v>4022.1808659143239</v>
      </c>
      <c r="D88" s="85">
        <f t="shared" si="5"/>
        <v>5332.6992615899653</v>
      </c>
      <c r="E88" s="85">
        <f t="shared" si="5"/>
        <v>6643.2176572656062</v>
      </c>
      <c r="F88" s="85">
        <f t="shared" si="5"/>
        <v>7953.7360529412481</v>
      </c>
    </row>
    <row r="89" spans="1:7">
      <c r="A89" s="89" t="s">
        <v>73</v>
      </c>
      <c r="B89" s="85">
        <f t="shared" si="5"/>
        <v>3377.9759996483867</v>
      </c>
      <c r="C89" s="85">
        <f t="shared" si="5"/>
        <v>4968.6265980527851</v>
      </c>
      <c r="D89" s="85">
        <f t="shared" si="5"/>
        <v>6559.2771964571839</v>
      </c>
      <c r="E89" s="85">
        <f t="shared" si="5"/>
        <v>8149.9277948615827</v>
      </c>
      <c r="F89" s="85">
        <f t="shared" si="5"/>
        <v>9740.5783932659815</v>
      </c>
    </row>
    <row r="90" spans="1:7">
      <c r="A90" s="89" t="s">
        <v>74</v>
      </c>
      <c r="B90" s="85">
        <f t="shared" si="5"/>
        <v>4003.1747469478682</v>
      </c>
      <c r="C90" s="85">
        <f t="shared" si="5"/>
        <v>5856.5274069887955</v>
      </c>
      <c r="D90" s="85">
        <f t="shared" si="5"/>
        <v>7709.8800670297233</v>
      </c>
      <c r="E90" s="85">
        <f t="shared" si="5"/>
        <v>9563.2327270706501</v>
      </c>
      <c r="F90" s="85">
        <f t="shared" si="5"/>
        <v>11416.585387111578</v>
      </c>
    </row>
    <row r="91" spans="1:7">
      <c r="A91" s="89" t="s">
        <v>121</v>
      </c>
      <c r="B91" s="85">
        <f t="shared" si="5"/>
        <v>4589.0884900218889</v>
      </c>
      <c r="C91" s="85">
        <f t="shared" si="5"/>
        <v>6688.4907723104279</v>
      </c>
      <c r="D91" s="85">
        <f t="shared" si="5"/>
        <v>8787.8930545989679</v>
      </c>
      <c r="E91" s="85">
        <f t="shared" si="5"/>
        <v>10887.295336887508</v>
      </c>
      <c r="F91" s="85">
        <f t="shared" si="5"/>
        <v>12986.697619176046</v>
      </c>
    </row>
    <row r="92" spans="1:7">
      <c r="A92" s="89" t="s">
        <v>122</v>
      </c>
      <c r="B92" s="85">
        <f t="shared" si="5"/>
        <v>5137.4752969150941</v>
      </c>
      <c r="C92" s="85">
        <f t="shared" si="5"/>
        <v>7467.0219473755178</v>
      </c>
      <c r="D92" s="85">
        <f t="shared" si="5"/>
        <v>9796.5685978359415</v>
      </c>
      <c r="E92" s="85">
        <f t="shared" si="5"/>
        <v>12126.115248296366</v>
      </c>
      <c r="F92" s="85">
        <f t="shared" si="5"/>
        <v>14455.661898756791</v>
      </c>
    </row>
    <row r="93" spans="1:7">
      <c r="A93" s="89"/>
      <c r="B93" s="9"/>
      <c r="C93" s="9"/>
      <c r="D93" s="9"/>
      <c r="E93" s="9"/>
      <c r="F93" s="9"/>
    </row>
    <row r="94" spans="1:7">
      <c r="A94" s="108" t="s">
        <v>235</v>
      </c>
      <c r="B94" s="108"/>
      <c r="C94" s="108"/>
      <c r="D94" s="108"/>
      <c r="E94" s="107"/>
      <c r="F94" s="107"/>
    </row>
    <row r="95" spans="1:7">
      <c r="A95" s="89" t="s">
        <v>69</v>
      </c>
      <c r="B95" s="85">
        <f>B43*$I55</f>
        <v>1733.009708737864</v>
      </c>
      <c r="C95" s="85">
        <f t="shared" ref="C95:F95" si="6">C43*$I55</f>
        <v>2200</v>
      </c>
      <c r="D95" s="85">
        <f t="shared" si="6"/>
        <v>2666.990291262136</v>
      </c>
      <c r="E95" s="85">
        <f t="shared" si="6"/>
        <v>3133.980582524272</v>
      </c>
      <c r="F95" s="85">
        <f t="shared" si="6"/>
        <v>3600.970873786408</v>
      </c>
    </row>
    <row r="96" spans="1:7">
      <c r="A96" s="89" t="s">
        <v>70</v>
      </c>
      <c r="B96" s="85">
        <f t="shared" ref="B96:F102" si="7">B44*$I56</f>
        <v>2952.2103874069185</v>
      </c>
      <c r="C96" s="85">
        <f t="shared" si="7"/>
        <v>3858.0450560844565</v>
      </c>
      <c r="D96" s="85">
        <f t="shared" si="7"/>
        <v>4763.8797247619941</v>
      </c>
      <c r="E96" s="85">
        <f t="shared" si="7"/>
        <v>5669.7143934395326</v>
      </c>
      <c r="F96" s="85">
        <f t="shared" si="7"/>
        <v>6575.5490621170702</v>
      </c>
    </row>
    <row r="97" spans="1:6">
      <c r="A97" s="89" t="s">
        <v>71</v>
      </c>
      <c r="B97" s="85">
        <f t="shared" si="7"/>
        <v>4098.9194922428023</v>
      </c>
      <c r="C97" s="85">
        <f t="shared" si="7"/>
        <v>5417.6386233707053</v>
      </c>
      <c r="D97" s="85">
        <f t="shared" si="7"/>
        <v>6736.3577544986083</v>
      </c>
      <c r="E97" s="85">
        <f t="shared" si="7"/>
        <v>8055.0768856265113</v>
      </c>
      <c r="F97" s="85">
        <f t="shared" si="7"/>
        <v>9373.7960167544134</v>
      </c>
    </row>
    <row r="98" spans="1:6">
      <c r="A98" s="89" t="s">
        <v>72</v>
      </c>
      <c r="B98" s="85">
        <f t="shared" si="7"/>
        <v>5176.3255411568043</v>
      </c>
      <c r="C98" s="85">
        <f t="shared" si="7"/>
        <v>6883.1091602028428</v>
      </c>
      <c r="D98" s="85">
        <f t="shared" si="7"/>
        <v>8589.8927792488812</v>
      </c>
      <c r="E98" s="85">
        <f t="shared" si="7"/>
        <v>10296.67639829492</v>
      </c>
      <c r="F98" s="85">
        <f t="shared" si="7"/>
        <v>12003.460017340958</v>
      </c>
    </row>
    <row r="99" spans="1:6">
      <c r="A99" s="89" t="s">
        <v>73</v>
      </c>
      <c r="B99" s="85">
        <f t="shared" si="7"/>
        <v>6187.4928103876091</v>
      </c>
      <c r="C99" s="85">
        <f t="shared" si="7"/>
        <v>8258.6165016939867</v>
      </c>
      <c r="D99" s="85">
        <f t="shared" si="7"/>
        <v>10329.740193000365</v>
      </c>
      <c r="E99" s="85">
        <f t="shared" si="7"/>
        <v>12400.863884306744</v>
      </c>
      <c r="F99" s="85">
        <f t="shared" si="7"/>
        <v>14471.98757561312</v>
      </c>
    </row>
    <row r="100" spans="1:6">
      <c r="A100" s="89" t="s">
        <v>74</v>
      </c>
      <c r="B100" s="85">
        <f t="shared" si="7"/>
        <v>7135.3658669447359</v>
      </c>
      <c r="C100" s="85">
        <f t="shared" si="7"/>
        <v>9548.1580104503446</v>
      </c>
      <c r="D100" s="85">
        <f t="shared" si="7"/>
        <v>11960.950153955953</v>
      </c>
      <c r="E100" s="85">
        <f t="shared" si="7"/>
        <v>14373.742297461562</v>
      </c>
      <c r="F100" s="85">
        <f t="shared" si="7"/>
        <v>16786.534440967171</v>
      </c>
    </row>
    <row r="101" spans="1:6">
      <c r="A101" s="89" t="s">
        <v>121</v>
      </c>
      <c r="B101" s="85">
        <f t="shared" si="7"/>
        <v>8022.7739424248721</v>
      </c>
      <c r="C101" s="85">
        <f t="shared" si="7"/>
        <v>10755.574512049883</v>
      </c>
      <c r="D101" s="85">
        <f t="shared" si="7"/>
        <v>13488.375081674896</v>
      </c>
      <c r="E101" s="85">
        <f t="shared" si="7"/>
        <v>16221.175651299907</v>
      </c>
      <c r="F101" s="85">
        <f t="shared" si="7"/>
        <v>18953.97622092492</v>
      </c>
    </row>
    <row r="102" spans="1:6">
      <c r="A102" s="89" t="s">
        <v>122</v>
      </c>
      <c r="B102" s="85">
        <f t="shared" si="7"/>
        <v>8852.4351535964761</v>
      </c>
      <c r="C102" s="85">
        <f t="shared" si="7"/>
        <v>11884.556022596302</v>
      </c>
      <c r="D102" s="85">
        <f t="shared" si="7"/>
        <v>14916.676891596129</v>
      </c>
      <c r="E102" s="85">
        <f t="shared" si="7"/>
        <v>17948.797760595957</v>
      </c>
      <c r="F102" s="85">
        <f>F50*$I62</f>
        <v>20980.918629595784</v>
      </c>
    </row>
  </sheetData>
  <mergeCells count="11">
    <mergeCell ref="A1:C1"/>
    <mergeCell ref="A12:C12"/>
    <mergeCell ref="A22:C22"/>
    <mergeCell ref="A32:E32"/>
    <mergeCell ref="A42:D42"/>
    <mergeCell ref="A94:F94"/>
    <mergeCell ref="A53:E53"/>
    <mergeCell ref="H53:N53"/>
    <mergeCell ref="A64:E64"/>
    <mergeCell ref="A74:E74"/>
    <mergeCell ref="A84:G84"/>
  </mergeCells>
  <phoneticPr fontId="5" type="noConversion"/>
  <pageMargins left="0.75" right="0.75" top="1" bottom="1" header="0.5" footer="0.5"/>
  <pageSetup paperSize="10" orientation="portrait" horizontalDpi="4294967292" verticalDpi="4294967292"/>
  <rowBreaks count="1" manualBreakCount="1">
    <brk id="52" max="16383" man="1"/>
  </rowBreaks>
  <ignoredErrors>
    <ignoredError sqref="B75" numberStoredAsText="1"/>
  </ignoredErrors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M103"/>
  <sheetViews>
    <sheetView view="pageLayout" topLeftCell="A54" zoomScale="75" workbookViewId="0">
      <selection activeCell="J76" sqref="J76"/>
    </sheetView>
  </sheetViews>
  <sheetFormatPr baseColWidth="10" defaultRowHeight="13"/>
  <cols>
    <col min="2" max="4" width="10.85546875" bestFit="1" customWidth="1"/>
    <col min="5" max="6" width="11.28515625" bestFit="1" customWidth="1"/>
  </cols>
  <sheetData>
    <row r="1" spans="1:6">
      <c r="A1" s="107" t="s">
        <v>34</v>
      </c>
      <c r="B1" s="107"/>
      <c r="C1" s="107"/>
    </row>
    <row r="2" spans="1:6">
      <c r="A2" s="73" t="s">
        <v>142</v>
      </c>
      <c r="B2" s="61" t="s">
        <v>50</v>
      </c>
      <c r="C2" s="61" t="s">
        <v>29</v>
      </c>
      <c r="D2" s="61" t="s">
        <v>135</v>
      </c>
      <c r="E2" s="61" t="s">
        <v>31</v>
      </c>
      <c r="F2" s="61" t="s">
        <v>32</v>
      </c>
    </row>
    <row r="3" spans="1:6">
      <c r="A3" s="61" t="s">
        <v>69</v>
      </c>
      <c r="B3" s="79">
        <v>2350</v>
      </c>
      <c r="C3" s="79">
        <v>2778</v>
      </c>
      <c r="D3" s="79">
        <v>3206</v>
      </c>
      <c r="E3" s="79">
        <v>3634</v>
      </c>
      <c r="F3" s="79">
        <v>4062</v>
      </c>
    </row>
    <row r="4" spans="1:6">
      <c r="A4" s="61" t="s">
        <v>70</v>
      </c>
      <c r="B4" s="79">
        <v>2245</v>
      </c>
      <c r="C4" s="79">
        <v>3100</v>
      </c>
      <c r="D4" s="79">
        <v>3955</v>
      </c>
      <c r="E4" s="79">
        <v>4810</v>
      </c>
      <c r="F4" s="79">
        <v>5665</v>
      </c>
    </row>
    <row r="5" spans="1:6">
      <c r="A5" s="61" t="s">
        <v>71</v>
      </c>
      <c r="B5" s="79">
        <v>2140</v>
      </c>
      <c r="C5" s="79">
        <v>3422</v>
      </c>
      <c r="D5" s="79">
        <v>4704</v>
      </c>
      <c r="E5" s="79">
        <v>5986</v>
      </c>
      <c r="F5" s="79">
        <v>7268</v>
      </c>
    </row>
    <row r="6" spans="1:6">
      <c r="A6" s="61" t="s">
        <v>72</v>
      </c>
      <c r="B6" s="79">
        <v>2035</v>
      </c>
      <c r="C6" s="79">
        <v>3744</v>
      </c>
      <c r="D6" s="79">
        <v>5453</v>
      </c>
      <c r="E6" s="79">
        <v>7162</v>
      </c>
      <c r="F6" s="79">
        <v>8871</v>
      </c>
    </row>
    <row r="7" spans="1:6">
      <c r="A7" s="61" t="s">
        <v>73</v>
      </c>
      <c r="B7" s="79">
        <v>1930</v>
      </c>
      <c r="C7" s="79">
        <v>4066</v>
      </c>
      <c r="D7" s="79">
        <v>6202</v>
      </c>
      <c r="E7" s="79">
        <v>8338</v>
      </c>
      <c r="F7" s="79">
        <v>10474</v>
      </c>
    </row>
    <row r="8" spans="1:6">
      <c r="A8" s="61" t="s">
        <v>74</v>
      </c>
      <c r="B8" s="79">
        <v>1825</v>
      </c>
      <c r="C8" s="79">
        <v>4388</v>
      </c>
      <c r="D8" s="79">
        <v>6951</v>
      </c>
      <c r="E8" s="79">
        <v>9514</v>
      </c>
      <c r="F8" s="79">
        <v>12077</v>
      </c>
    </row>
    <row r="9" spans="1:6">
      <c r="A9" s="61" t="s">
        <v>121</v>
      </c>
      <c r="B9" s="79">
        <v>1720</v>
      </c>
      <c r="C9" s="79">
        <v>4710</v>
      </c>
      <c r="D9" s="79">
        <v>7700</v>
      </c>
      <c r="E9" s="79">
        <v>10690</v>
      </c>
      <c r="F9" s="79">
        <v>13680</v>
      </c>
    </row>
    <row r="10" spans="1:6">
      <c r="A10" s="61" t="s">
        <v>122</v>
      </c>
      <c r="B10" s="79">
        <v>1615</v>
      </c>
      <c r="C10" s="79">
        <v>5032</v>
      </c>
      <c r="D10" s="79">
        <v>8449</v>
      </c>
      <c r="E10" s="79">
        <v>11866</v>
      </c>
      <c r="F10" s="79">
        <v>15283</v>
      </c>
    </row>
    <row r="12" spans="1:6">
      <c r="A12" s="107" t="s">
        <v>35</v>
      </c>
      <c r="B12" s="107"/>
      <c r="C12" s="107"/>
    </row>
    <row r="13" spans="1:6">
      <c r="A13" s="61" t="s">
        <v>69</v>
      </c>
      <c r="B13" s="83">
        <v>-9164</v>
      </c>
      <c r="C13" s="83">
        <v>-8870</v>
      </c>
      <c r="D13" s="83">
        <v>-8576</v>
      </c>
      <c r="E13" s="83">
        <v>-8282</v>
      </c>
      <c r="F13" s="83">
        <v>-7988</v>
      </c>
    </row>
    <row r="14" spans="1:6">
      <c r="A14" s="61" t="s">
        <v>70</v>
      </c>
      <c r="B14" s="83">
        <v>-8654</v>
      </c>
      <c r="C14" s="83">
        <v>-8066</v>
      </c>
      <c r="D14" s="83">
        <v>-7478</v>
      </c>
      <c r="E14" s="83">
        <v>-6890</v>
      </c>
      <c r="F14" s="83">
        <v>-6302</v>
      </c>
    </row>
    <row r="15" spans="1:6">
      <c r="A15" s="61" t="s">
        <v>71</v>
      </c>
      <c r="B15" s="83">
        <v>-8144</v>
      </c>
      <c r="C15" s="83">
        <v>-7262</v>
      </c>
      <c r="D15" s="83">
        <v>-6380</v>
      </c>
      <c r="E15" s="83">
        <v>-5498</v>
      </c>
      <c r="F15" s="83">
        <v>-4616</v>
      </c>
    </row>
    <row r="16" spans="1:6">
      <c r="A16" s="61" t="s">
        <v>72</v>
      </c>
      <c r="B16" s="83">
        <v>-7634</v>
      </c>
      <c r="C16" s="83">
        <v>-6458</v>
      </c>
      <c r="D16" s="83">
        <v>-5282</v>
      </c>
      <c r="E16" s="83">
        <v>-4106</v>
      </c>
      <c r="F16" s="83">
        <v>-2930</v>
      </c>
    </row>
    <row r="17" spans="1:6">
      <c r="A17" s="61" t="s">
        <v>73</v>
      </c>
      <c r="B17" s="83">
        <v>-7124</v>
      </c>
      <c r="C17" s="83">
        <v>-5654</v>
      </c>
      <c r="D17" s="83">
        <v>-4184</v>
      </c>
      <c r="E17" s="83">
        <v>-2714</v>
      </c>
      <c r="F17" s="83">
        <v>-1244</v>
      </c>
    </row>
    <row r="18" spans="1:6">
      <c r="A18" s="61" t="s">
        <v>74</v>
      </c>
      <c r="B18" s="83">
        <v>-6614</v>
      </c>
      <c r="C18" s="83">
        <v>-4850</v>
      </c>
      <c r="D18" s="83">
        <v>-3086</v>
      </c>
      <c r="E18" s="83">
        <v>-1322</v>
      </c>
      <c r="F18" s="85">
        <v>442</v>
      </c>
    </row>
    <row r="19" spans="1:6">
      <c r="A19" s="61" t="s">
        <v>121</v>
      </c>
      <c r="B19" s="83">
        <v>-6104</v>
      </c>
      <c r="C19" s="83">
        <v>-4046</v>
      </c>
      <c r="D19" s="83">
        <v>-1988</v>
      </c>
      <c r="E19" s="85">
        <v>70</v>
      </c>
      <c r="F19" s="85">
        <v>2128</v>
      </c>
    </row>
    <row r="20" spans="1:6">
      <c r="A20" s="61" t="s">
        <v>122</v>
      </c>
      <c r="B20" s="83">
        <v>-5594</v>
      </c>
      <c r="C20" s="83">
        <v>-3242</v>
      </c>
      <c r="D20" s="83">
        <v>-890</v>
      </c>
      <c r="E20" s="85">
        <v>1462</v>
      </c>
      <c r="F20" s="85">
        <v>3814</v>
      </c>
    </row>
    <row r="22" spans="1:6">
      <c r="A22" s="107" t="s">
        <v>36</v>
      </c>
      <c r="B22" s="107"/>
      <c r="C22" s="107"/>
    </row>
    <row r="23" spans="1:6">
      <c r="A23" s="61" t="s">
        <v>69</v>
      </c>
      <c r="B23" s="79">
        <v>9</v>
      </c>
      <c r="C23" s="79">
        <v>242</v>
      </c>
      <c r="D23" s="79">
        <v>475</v>
      </c>
      <c r="E23" s="79">
        <v>708</v>
      </c>
      <c r="F23" s="79">
        <v>941</v>
      </c>
    </row>
    <row r="24" spans="1:6">
      <c r="A24" s="61" t="s">
        <v>70</v>
      </c>
      <c r="B24" s="79">
        <v>227</v>
      </c>
      <c r="C24" s="79">
        <v>744</v>
      </c>
      <c r="D24" s="79">
        <v>1261</v>
      </c>
      <c r="E24" s="79">
        <v>1778</v>
      </c>
      <c r="F24" s="79">
        <v>2295</v>
      </c>
    </row>
    <row r="25" spans="1:6">
      <c r="A25" s="61" t="s">
        <v>71</v>
      </c>
      <c r="B25" s="79">
        <v>445</v>
      </c>
      <c r="C25" s="79">
        <v>1246</v>
      </c>
      <c r="D25" s="79">
        <v>2047</v>
      </c>
      <c r="E25" s="79">
        <v>2848</v>
      </c>
      <c r="F25" s="79">
        <v>3649</v>
      </c>
    </row>
    <row r="26" spans="1:6">
      <c r="A26" s="61" t="s">
        <v>72</v>
      </c>
      <c r="B26" s="79">
        <v>663</v>
      </c>
      <c r="C26" s="79">
        <v>1748</v>
      </c>
      <c r="D26" s="79">
        <v>2833</v>
      </c>
      <c r="E26" s="79">
        <v>3918</v>
      </c>
      <c r="F26" s="79">
        <v>5003</v>
      </c>
    </row>
    <row r="27" spans="1:6">
      <c r="A27" s="61" t="s">
        <v>73</v>
      </c>
      <c r="B27" s="79">
        <v>881</v>
      </c>
      <c r="C27" s="79">
        <v>2250</v>
      </c>
      <c r="D27" s="79">
        <v>3619</v>
      </c>
      <c r="E27" s="79">
        <v>4988</v>
      </c>
      <c r="F27" s="79">
        <v>6357</v>
      </c>
    </row>
    <row r="28" spans="1:6">
      <c r="A28" s="61" t="s">
        <v>74</v>
      </c>
      <c r="B28" s="79">
        <v>1099</v>
      </c>
      <c r="C28" s="79">
        <v>2752</v>
      </c>
      <c r="D28" s="79">
        <v>4405</v>
      </c>
      <c r="E28" s="79">
        <v>6058</v>
      </c>
      <c r="F28" s="79">
        <v>7711</v>
      </c>
    </row>
    <row r="29" spans="1:6">
      <c r="A29" s="61" t="s">
        <v>121</v>
      </c>
      <c r="B29" s="79">
        <v>1317</v>
      </c>
      <c r="C29" s="79">
        <v>3254</v>
      </c>
      <c r="D29" s="79">
        <v>5191</v>
      </c>
      <c r="E29" s="79">
        <v>7128</v>
      </c>
      <c r="F29" s="79">
        <v>9065</v>
      </c>
    </row>
    <row r="30" spans="1:6">
      <c r="A30" s="61" t="s">
        <v>122</v>
      </c>
      <c r="B30" s="79">
        <v>1535</v>
      </c>
      <c r="C30" s="79">
        <v>3756</v>
      </c>
      <c r="D30" s="79">
        <v>5977</v>
      </c>
      <c r="E30" s="79">
        <v>8198</v>
      </c>
      <c r="F30" s="79">
        <v>10419</v>
      </c>
    </row>
    <row r="31" spans="1:6">
      <c r="A31" s="61"/>
      <c r="B31" s="9"/>
      <c r="C31" s="9"/>
      <c r="D31" s="9"/>
      <c r="E31" s="9"/>
      <c r="F31" s="9"/>
    </row>
    <row r="32" spans="1:6">
      <c r="A32" s="107" t="s">
        <v>67</v>
      </c>
      <c r="B32" s="107"/>
      <c r="C32" s="107"/>
      <c r="D32" s="107"/>
      <c r="E32" s="107"/>
    </row>
    <row r="33" spans="1:6">
      <c r="A33" s="61" t="s">
        <v>69</v>
      </c>
      <c r="B33" s="81">
        <v>461</v>
      </c>
      <c r="C33" s="79">
        <v>831</v>
      </c>
      <c r="D33" s="81">
        <v>1201</v>
      </c>
      <c r="E33" s="79">
        <v>1571</v>
      </c>
      <c r="F33" s="81">
        <v>1941</v>
      </c>
    </row>
    <row r="34" spans="1:6">
      <c r="A34" s="61" t="s">
        <v>70</v>
      </c>
      <c r="B34" s="79">
        <v>1327</v>
      </c>
      <c r="C34" s="79">
        <v>2068</v>
      </c>
      <c r="D34" s="79">
        <v>2809</v>
      </c>
      <c r="E34" s="79">
        <v>3550</v>
      </c>
      <c r="F34" s="79">
        <v>4291</v>
      </c>
    </row>
    <row r="35" spans="1:6">
      <c r="A35" s="61" t="s">
        <v>71</v>
      </c>
      <c r="B35" s="81">
        <v>2193</v>
      </c>
      <c r="C35" s="79">
        <v>3305</v>
      </c>
      <c r="D35" s="81">
        <v>4417</v>
      </c>
      <c r="E35" s="79">
        <v>5529</v>
      </c>
      <c r="F35" s="81">
        <v>6641</v>
      </c>
    </row>
    <row r="36" spans="1:6">
      <c r="A36" s="61" t="s">
        <v>72</v>
      </c>
      <c r="B36" s="79">
        <v>3059</v>
      </c>
      <c r="C36" s="79">
        <v>4542</v>
      </c>
      <c r="D36" s="79">
        <v>6025</v>
      </c>
      <c r="E36" s="79">
        <v>7508</v>
      </c>
      <c r="F36" s="79">
        <v>8991</v>
      </c>
    </row>
    <row r="37" spans="1:6">
      <c r="A37" s="61" t="s">
        <v>73</v>
      </c>
      <c r="B37" s="81">
        <v>3925</v>
      </c>
      <c r="C37" s="79">
        <v>5779</v>
      </c>
      <c r="D37" s="81">
        <v>7633</v>
      </c>
      <c r="E37" s="79">
        <v>9487</v>
      </c>
      <c r="F37" s="81">
        <v>11341</v>
      </c>
    </row>
    <row r="38" spans="1:6">
      <c r="A38" s="61" t="s">
        <v>74</v>
      </c>
      <c r="B38" s="79">
        <v>4791</v>
      </c>
      <c r="C38" s="79">
        <v>7016</v>
      </c>
      <c r="D38" s="79">
        <v>9241</v>
      </c>
      <c r="E38" s="79">
        <v>11466</v>
      </c>
      <c r="F38" s="79">
        <v>13691</v>
      </c>
    </row>
    <row r="39" spans="1:6">
      <c r="A39" s="61" t="s">
        <v>121</v>
      </c>
      <c r="B39" s="81">
        <v>5657</v>
      </c>
      <c r="C39" s="79">
        <v>8253</v>
      </c>
      <c r="D39" s="81">
        <v>10849</v>
      </c>
      <c r="E39" s="79">
        <v>13445</v>
      </c>
      <c r="F39" s="81">
        <v>16041</v>
      </c>
    </row>
    <row r="40" spans="1:6">
      <c r="A40" s="61" t="s">
        <v>122</v>
      </c>
      <c r="B40" s="79">
        <v>6523</v>
      </c>
      <c r="C40" s="79">
        <v>9490</v>
      </c>
      <c r="D40" s="79">
        <v>12457</v>
      </c>
      <c r="E40" s="79">
        <v>15424</v>
      </c>
      <c r="F40" s="79">
        <v>18391</v>
      </c>
    </row>
    <row r="41" spans="1:6">
      <c r="A41" s="61"/>
      <c r="B41" s="9"/>
      <c r="C41" s="9"/>
      <c r="D41" s="9"/>
      <c r="E41" s="9"/>
      <c r="F41" s="9"/>
    </row>
    <row r="42" spans="1:6">
      <c r="A42" s="108" t="s">
        <v>180</v>
      </c>
      <c r="B42" s="108"/>
      <c r="C42" s="108"/>
      <c r="D42" s="108"/>
      <c r="E42" s="9"/>
      <c r="F42" s="9"/>
    </row>
    <row r="43" spans="1:6">
      <c r="A43" s="61" t="s">
        <v>69</v>
      </c>
      <c r="B43" s="79">
        <v>1825</v>
      </c>
      <c r="C43" s="79">
        <v>2345</v>
      </c>
      <c r="D43" s="79">
        <v>2865</v>
      </c>
      <c r="E43" s="79">
        <v>3385</v>
      </c>
      <c r="F43" s="79">
        <v>3905</v>
      </c>
    </row>
    <row r="44" spans="1:6">
      <c r="A44" s="61" t="s">
        <v>70</v>
      </c>
      <c r="B44" s="79">
        <v>3210</v>
      </c>
      <c r="C44" s="79">
        <v>4251</v>
      </c>
      <c r="D44" s="79">
        <v>5292</v>
      </c>
      <c r="E44" s="79">
        <v>6333</v>
      </c>
      <c r="F44" s="79">
        <v>7374</v>
      </c>
    </row>
    <row r="45" spans="1:6">
      <c r="A45" s="61" t="s">
        <v>71</v>
      </c>
      <c r="B45" s="79">
        <v>4595</v>
      </c>
      <c r="C45" s="79">
        <v>6157</v>
      </c>
      <c r="D45" s="79">
        <v>7719</v>
      </c>
      <c r="E45" s="79">
        <v>9281</v>
      </c>
      <c r="F45" s="79">
        <v>10843</v>
      </c>
    </row>
    <row r="46" spans="1:6">
      <c r="A46" s="61" t="s">
        <v>72</v>
      </c>
      <c r="B46" s="79">
        <v>5980</v>
      </c>
      <c r="C46" s="79">
        <v>8063</v>
      </c>
      <c r="D46" s="79">
        <v>10146</v>
      </c>
      <c r="E46" s="79">
        <v>12229</v>
      </c>
      <c r="F46" s="79">
        <v>14312</v>
      </c>
    </row>
    <row r="47" spans="1:6">
      <c r="A47" s="61" t="s">
        <v>73</v>
      </c>
      <c r="B47" s="79">
        <v>7365</v>
      </c>
      <c r="C47" s="79">
        <v>9969</v>
      </c>
      <c r="D47" s="79">
        <v>12573</v>
      </c>
      <c r="E47" s="79">
        <v>15177</v>
      </c>
      <c r="F47" s="79">
        <v>17781</v>
      </c>
    </row>
    <row r="48" spans="1:6">
      <c r="A48" s="61" t="s">
        <v>74</v>
      </c>
      <c r="B48" s="79">
        <v>8750</v>
      </c>
      <c r="C48" s="79">
        <v>11875</v>
      </c>
      <c r="D48" s="79">
        <v>15000</v>
      </c>
      <c r="E48" s="79">
        <v>18125</v>
      </c>
      <c r="F48" s="79">
        <v>21250</v>
      </c>
    </row>
    <row r="49" spans="1:13">
      <c r="A49" s="61" t="s">
        <v>121</v>
      </c>
      <c r="B49" s="79">
        <v>10135</v>
      </c>
      <c r="C49" s="79">
        <v>13781</v>
      </c>
      <c r="D49" s="79">
        <v>17427</v>
      </c>
      <c r="E49" s="79">
        <v>21073</v>
      </c>
      <c r="F49" s="79">
        <v>24719</v>
      </c>
    </row>
    <row r="50" spans="1:13">
      <c r="A50" s="61" t="s">
        <v>122</v>
      </c>
      <c r="B50" s="79">
        <v>11520</v>
      </c>
      <c r="C50" s="79">
        <v>15687</v>
      </c>
      <c r="D50" s="79">
        <v>19854</v>
      </c>
      <c r="E50" s="79">
        <v>24021</v>
      </c>
      <c r="F50" s="79">
        <v>28188</v>
      </c>
    </row>
    <row r="54" spans="1:13">
      <c r="A54" s="107" t="s">
        <v>232</v>
      </c>
      <c r="B54" s="107"/>
      <c r="C54" s="107"/>
      <c r="D54" s="107"/>
      <c r="E54" s="107"/>
      <c r="G54" s="108" t="s">
        <v>226</v>
      </c>
      <c r="H54" s="108"/>
      <c r="I54" s="108"/>
      <c r="J54" s="108"/>
      <c r="K54" s="108"/>
      <c r="L54" s="108"/>
      <c r="M54" s="108"/>
    </row>
    <row r="55" spans="1:13">
      <c r="A55" s="89" t="s">
        <v>143</v>
      </c>
      <c r="B55" s="89" t="s">
        <v>50</v>
      </c>
      <c r="C55" s="89" t="s">
        <v>29</v>
      </c>
      <c r="D55" s="89" t="s">
        <v>135</v>
      </c>
      <c r="E55" s="89" t="s">
        <v>31</v>
      </c>
      <c r="F55" s="89" t="s">
        <v>32</v>
      </c>
      <c r="G55" s="89" t="s">
        <v>224</v>
      </c>
      <c r="H55" s="89"/>
      <c r="I55" s="89"/>
      <c r="J55" s="89"/>
    </row>
    <row r="56" spans="1:13">
      <c r="A56" s="89" t="s">
        <v>69</v>
      </c>
      <c r="B56" s="85">
        <f t="shared" ref="B56:F63" si="0">B3*$H56</f>
        <v>2281.5533980582522</v>
      </c>
      <c r="C56" s="85">
        <f t="shared" si="0"/>
        <v>2697.0873786407769</v>
      </c>
      <c r="D56" s="85">
        <f t="shared" si="0"/>
        <v>3112.6213592233012</v>
      </c>
      <c r="E56" s="85">
        <f t="shared" si="0"/>
        <v>3528.1553398058254</v>
      </c>
      <c r="F56" s="85">
        <f t="shared" si="0"/>
        <v>3943.6893203883496</v>
      </c>
      <c r="G56" s="89">
        <v>1</v>
      </c>
      <c r="H56">
        <f>1/(1+0.03)</f>
        <v>0.970873786407767</v>
      </c>
      <c r="J56" s="89"/>
    </row>
    <row r="57" spans="1:13">
      <c r="A57" s="89" t="s">
        <v>70</v>
      </c>
      <c r="B57" s="85">
        <f t="shared" si="0"/>
        <v>2116.1278160052784</v>
      </c>
      <c r="C57" s="85">
        <f t="shared" si="0"/>
        <v>2922.0473183146387</v>
      </c>
      <c r="D57" s="85">
        <f t="shared" si="0"/>
        <v>3727.9668206239985</v>
      </c>
      <c r="E57" s="85">
        <f t="shared" si="0"/>
        <v>4533.8863229333583</v>
      </c>
      <c r="F57" s="85">
        <f t="shared" si="0"/>
        <v>5339.8058252427181</v>
      </c>
      <c r="G57" s="89">
        <v>2</v>
      </c>
      <c r="H57">
        <f>1/(1+0.03)^2</f>
        <v>0.94259590913375435</v>
      </c>
      <c r="J57" s="89"/>
    </row>
    <row r="58" spans="1:13">
      <c r="A58" s="89" t="s">
        <v>71</v>
      </c>
      <c r="B58" s="85">
        <f t="shared" si="0"/>
        <v>1958.4031510157615</v>
      </c>
      <c r="C58" s="85">
        <f t="shared" si="0"/>
        <v>3131.6147583065122</v>
      </c>
      <c r="D58" s="85">
        <f t="shared" si="0"/>
        <v>4304.8263655972632</v>
      </c>
      <c r="E58" s="85">
        <f t="shared" si="0"/>
        <v>5478.0379728880134</v>
      </c>
      <c r="F58" s="85">
        <f t="shared" si="0"/>
        <v>6651.2495801787636</v>
      </c>
      <c r="G58" s="89">
        <v>3</v>
      </c>
      <c r="H58">
        <f>1/(1+0.03)^3</f>
        <v>0.91514165935315961</v>
      </c>
      <c r="J58" s="89"/>
    </row>
    <row r="59" spans="1:13">
      <c r="A59" s="89" t="s">
        <v>72</v>
      </c>
      <c r="B59" s="85">
        <f t="shared" si="0"/>
        <v>1808.0711425084271</v>
      </c>
      <c r="C59" s="85">
        <f t="shared" si="0"/>
        <v>3326.4955073963397</v>
      </c>
      <c r="D59" s="85">
        <f t="shared" si="0"/>
        <v>4844.9198722842521</v>
      </c>
      <c r="E59" s="85">
        <f t="shared" si="0"/>
        <v>6363.3442371721649</v>
      </c>
      <c r="F59" s="85">
        <f t="shared" si="0"/>
        <v>7881.7686020600768</v>
      </c>
      <c r="G59" s="89">
        <v>4</v>
      </c>
      <c r="H59">
        <f>1/(1+0.03)^4</f>
        <v>0.888487047915689</v>
      </c>
      <c r="J59" s="89"/>
    </row>
    <row r="60" spans="1:13">
      <c r="A60" s="89" t="s">
        <v>73</v>
      </c>
      <c r="B60" s="85">
        <f t="shared" si="0"/>
        <v>1664.8349538614368</v>
      </c>
      <c r="C60" s="85">
        <f t="shared" si="0"/>
        <v>3507.367317306011</v>
      </c>
      <c r="D60" s="85">
        <f t="shared" si="0"/>
        <v>5349.8996807505855</v>
      </c>
      <c r="E60" s="85">
        <f t="shared" si="0"/>
        <v>7192.4320441951604</v>
      </c>
      <c r="F60" s="85">
        <f t="shared" si="0"/>
        <v>9034.9644076397344</v>
      </c>
      <c r="G60" s="89">
        <v>5</v>
      </c>
      <c r="H60">
        <f>1/(1+0.03)^5</f>
        <v>0.86260878438416411</v>
      </c>
      <c r="J60" s="91"/>
    </row>
    <row r="61" spans="1:13">
      <c r="A61" s="89" t="s">
        <v>74</v>
      </c>
      <c r="B61" s="85">
        <f t="shared" si="0"/>
        <v>1528.4087684476694</v>
      </c>
      <c r="C61" s="85">
        <f t="shared" si="0"/>
        <v>3674.8809183278759</v>
      </c>
      <c r="D61" s="85">
        <f t="shared" si="0"/>
        <v>5821.3530682080818</v>
      </c>
      <c r="E61" s="85">
        <f t="shared" si="0"/>
        <v>7967.8252180882882</v>
      </c>
      <c r="F61" s="85">
        <f t="shared" si="0"/>
        <v>10114.297367968495</v>
      </c>
      <c r="G61" s="89">
        <v>6</v>
      </c>
      <c r="H61">
        <f>1/(1+0.03)^6</f>
        <v>0.83748425668365445</v>
      </c>
      <c r="J61" s="91"/>
    </row>
    <row r="62" spans="1:13">
      <c r="A62" s="89" t="s">
        <v>121</v>
      </c>
      <c r="B62" s="85">
        <f t="shared" si="0"/>
        <v>1398.5173995105686</v>
      </c>
      <c r="C62" s="85">
        <f t="shared" si="0"/>
        <v>3829.6610184271963</v>
      </c>
      <c r="D62" s="85">
        <f t="shared" si="0"/>
        <v>6260.8046373438237</v>
      </c>
      <c r="E62" s="85">
        <f t="shared" si="0"/>
        <v>8691.9482562604517</v>
      </c>
      <c r="F62" s="85">
        <f t="shared" si="0"/>
        <v>11123.091875177081</v>
      </c>
      <c r="G62" s="89">
        <v>7</v>
      </c>
      <c r="H62">
        <f>1/(1+0.03)^7</f>
        <v>0.81309151134335378</v>
      </c>
      <c r="J62" s="91"/>
    </row>
    <row r="63" spans="1:13">
      <c r="A63" s="89" t="s">
        <v>145</v>
      </c>
      <c r="B63" s="85">
        <f t="shared" si="0"/>
        <v>1274.8959134170061</v>
      </c>
      <c r="C63" s="85">
        <f t="shared" si="0"/>
        <v>3972.3072670677248</v>
      </c>
      <c r="D63" s="85">
        <f t="shared" si="0"/>
        <v>6669.7186207184432</v>
      </c>
      <c r="E63" s="85">
        <f t="shared" si="0"/>
        <v>9367.1299743691616</v>
      </c>
      <c r="F63" s="85">
        <f t="shared" si="0"/>
        <v>12064.541328019879</v>
      </c>
      <c r="G63" s="89">
        <v>8</v>
      </c>
      <c r="H63">
        <f>1/(1+0.03)^8</f>
        <v>0.78940923431393573</v>
      </c>
      <c r="J63" s="91"/>
    </row>
    <row r="65" spans="1:6">
      <c r="A65" s="107" t="s">
        <v>233</v>
      </c>
      <c r="B65" s="107"/>
      <c r="C65" s="107"/>
      <c r="D65" s="107"/>
      <c r="E65" s="107"/>
    </row>
    <row r="66" spans="1:6">
      <c r="A66" s="89" t="s">
        <v>69</v>
      </c>
      <c r="B66" s="94">
        <v>-8897</v>
      </c>
      <c r="C66" s="94">
        <v>-8612</v>
      </c>
      <c r="D66" s="94">
        <v>-8326</v>
      </c>
      <c r="E66" s="94">
        <v>-8041</v>
      </c>
      <c r="F66" s="94">
        <v>-7755</v>
      </c>
    </row>
    <row r="67" spans="1:6">
      <c r="A67" s="89" t="s">
        <v>70</v>
      </c>
      <c r="B67" s="94">
        <v>-8157</v>
      </c>
      <c r="C67" s="94">
        <v>-7603</v>
      </c>
      <c r="D67" s="94">
        <v>-7049</v>
      </c>
      <c r="E67" s="94">
        <v>-6494</v>
      </c>
      <c r="F67" s="94">
        <v>-5940</v>
      </c>
    </row>
    <row r="68" spans="1:6">
      <c r="A68" s="89" t="s">
        <v>71</v>
      </c>
      <c r="B68" s="94">
        <v>-7453</v>
      </c>
      <c r="C68" s="94">
        <v>-6646</v>
      </c>
      <c r="D68" s="94">
        <v>-5839</v>
      </c>
      <c r="E68" s="94">
        <v>-5031</v>
      </c>
      <c r="F68" s="94">
        <v>-4224</v>
      </c>
    </row>
    <row r="69" spans="1:6">
      <c r="A69" s="89" t="s">
        <v>72</v>
      </c>
      <c r="B69" s="94">
        <v>-6783</v>
      </c>
      <c r="C69" s="94">
        <v>-5738</v>
      </c>
      <c r="D69" s="94">
        <v>-4693</v>
      </c>
      <c r="E69" s="94">
        <v>-3648</v>
      </c>
      <c r="F69" s="94">
        <v>-2603</v>
      </c>
    </row>
    <row r="70" spans="1:6">
      <c r="A70" s="89" t="s">
        <v>73</v>
      </c>
      <c r="B70" s="94">
        <v>-6145</v>
      </c>
      <c r="C70" s="94">
        <v>-4877</v>
      </c>
      <c r="D70" s="94">
        <v>-3609</v>
      </c>
      <c r="E70" s="94">
        <v>-2341</v>
      </c>
      <c r="F70" s="94">
        <v>-1073</v>
      </c>
    </row>
    <row r="71" spans="1:6">
      <c r="A71" s="89" t="s">
        <v>74</v>
      </c>
      <c r="B71" s="94">
        <v>-5539</v>
      </c>
      <c r="C71" s="94">
        <v>-4062</v>
      </c>
      <c r="D71" s="94">
        <v>-2584</v>
      </c>
      <c r="E71" s="94">
        <v>-1107</v>
      </c>
      <c r="F71" s="92">
        <v>370</v>
      </c>
    </row>
    <row r="72" spans="1:6">
      <c r="A72" s="89" t="s">
        <v>121</v>
      </c>
      <c r="B72" s="94">
        <v>-4963</v>
      </c>
      <c r="C72" s="94">
        <v>-3290</v>
      </c>
      <c r="D72" s="94">
        <v>-1616</v>
      </c>
      <c r="E72" s="92">
        <v>57</v>
      </c>
      <c r="F72" s="92">
        <v>1730</v>
      </c>
    </row>
    <row r="73" spans="1:6">
      <c r="A73" s="89" t="s">
        <v>122</v>
      </c>
      <c r="B73" s="94">
        <v>-4416</v>
      </c>
      <c r="C73" s="94">
        <v>-2559</v>
      </c>
      <c r="D73" s="94">
        <v>-703</v>
      </c>
      <c r="E73" s="92">
        <v>1154</v>
      </c>
      <c r="F73" s="92">
        <v>3011</v>
      </c>
    </row>
    <row r="75" spans="1:6">
      <c r="A75" s="107" t="s">
        <v>234</v>
      </c>
      <c r="B75" s="107"/>
      <c r="C75" s="107"/>
      <c r="D75" s="107"/>
      <c r="E75" s="107"/>
    </row>
    <row r="76" spans="1:6">
      <c r="A76" s="89" t="s">
        <v>69</v>
      </c>
      <c r="B76" s="85">
        <f t="shared" ref="B76:F83" si="1">B23*$H56</f>
        <v>8.7378640776699026</v>
      </c>
      <c r="C76" s="85">
        <f t="shared" si="1"/>
        <v>234.95145631067962</v>
      </c>
      <c r="D76" s="85">
        <f t="shared" si="1"/>
        <v>461.16504854368935</v>
      </c>
      <c r="E76" s="85">
        <f t="shared" si="1"/>
        <v>687.37864077669906</v>
      </c>
      <c r="F76" s="85">
        <f t="shared" si="1"/>
        <v>913.59223300970871</v>
      </c>
    </row>
    <row r="77" spans="1:6">
      <c r="A77" s="89" t="s">
        <v>70</v>
      </c>
      <c r="B77" s="85">
        <f t="shared" si="1"/>
        <v>213.96927137336223</v>
      </c>
      <c r="C77" s="85">
        <f t="shared" si="1"/>
        <v>701.29135639551328</v>
      </c>
      <c r="D77" s="85">
        <f t="shared" si="1"/>
        <v>1188.6134414176643</v>
      </c>
      <c r="E77" s="85">
        <f t="shared" si="1"/>
        <v>1675.9355264398152</v>
      </c>
      <c r="F77" s="85">
        <f t="shared" si="1"/>
        <v>2163.257611461966</v>
      </c>
    </row>
    <row r="78" spans="1:6">
      <c r="A78" s="89" t="s">
        <v>71</v>
      </c>
      <c r="B78" s="85">
        <f t="shared" si="1"/>
        <v>407.23803841215602</v>
      </c>
      <c r="C78" s="85">
        <f t="shared" si="1"/>
        <v>1140.2665075540369</v>
      </c>
      <c r="D78" s="85">
        <f t="shared" si="1"/>
        <v>1873.2949766959177</v>
      </c>
      <c r="E78" s="85">
        <f t="shared" si="1"/>
        <v>2606.3234458377988</v>
      </c>
      <c r="F78" s="85">
        <f t="shared" si="1"/>
        <v>3339.3519149796793</v>
      </c>
    </row>
    <row r="79" spans="1:6">
      <c r="A79" s="89" t="s">
        <v>72</v>
      </c>
      <c r="B79" s="85">
        <f t="shared" si="1"/>
        <v>589.06691276810182</v>
      </c>
      <c r="C79" s="85">
        <f t="shared" si="1"/>
        <v>1553.0753597566243</v>
      </c>
      <c r="D79" s="85">
        <f t="shared" si="1"/>
        <v>2517.0838067451468</v>
      </c>
      <c r="E79" s="85">
        <f t="shared" si="1"/>
        <v>3481.0922537336696</v>
      </c>
      <c r="F79" s="85">
        <f t="shared" si="1"/>
        <v>4445.1007007221924</v>
      </c>
    </row>
    <row r="80" spans="1:6">
      <c r="A80" s="89" t="s">
        <v>73</v>
      </c>
      <c r="B80" s="85">
        <f t="shared" si="1"/>
        <v>759.95833904244853</v>
      </c>
      <c r="C80" s="85">
        <f t="shared" si="1"/>
        <v>1940.8697648643692</v>
      </c>
      <c r="D80" s="85">
        <f t="shared" si="1"/>
        <v>3121.7811906862898</v>
      </c>
      <c r="E80" s="85">
        <f t="shared" si="1"/>
        <v>4302.6926165082104</v>
      </c>
      <c r="F80" s="85">
        <f t="shared" si="1"/>
        <v>5483.6040423301311</v>
      </c>
    </row>
    <row r="81" spans="1:6">
      <c r="A81" s="89" t="s">
        <v>74</v>
      </c>
      <c r="B81" s="85">
        <f t="shared" si="1"/>
        <v>920.39519809533624</v>
      </c>
      <c r="C81" s="85">
        <f t="shared" si="1"/>
        <v>2304.7566743934171</v>
      </c>
      <c r="D81" s="85">
        <f t="shared" si="1"/>
        <v>3689.1181506914977</v>
      </c>
      <c r="E81" s="85">
        <f t="shared" si="1"/>
        <v>5073.4796269895787</v>
      </c>
      <c r="F81" s="85">
        <f t="shared" si="1"/>
        <v>6457.8411032876593</v>
      </c>
    </row>
    <row r="82" spans="1:6">
      <c r="A82" s="89" t="s">
        <v>121</v>
      </c>
      <c r="B82" s="85">
        <f t="shared" si="1"/>
        <v>1070.841520439197</v>
      </c>
      <c r="C82" s="85">
        <f t="shared" si="1"/>
        <v>2645.7997779112734</v>
      </c>
      <c r="D82" s="85">
        <f t="shared" si="1"/>
        <v>4220.7580353833491</v>
      </c>
      <c r="E82" s="85">
        <f t="shared" si="1"/>
        <v>5795.7162928554253</v>
      </c>
      <c r="F82" s="85">
        <f t="shared" si="1"/>
        <v>7370.6745503275024</v>
      </c>
    </row>
    <row r="83" spans="1:6">
      <c r="A83" s="89" t="s">
        <v>122</v>
      </c>
      <c r="B83" s="85">
        <f t="shared" si="1"/>
        <v>1211.7431746718914</v>
      </c>
      <c r="C83" s="85">
        <f t="shared" si="1"/>
        <v>2965.0210840831428</v>
      </c>
      <c r="D83" s="85">
        <f t="shared" si="1"/>
        <v>4718.2989934943935</v>
      </c>
      <c r="E83" s="85">
        <f t="shared" si="1"/>
        <v>6471.5769029056455</v>
      </c>
      <c r="F83" s="85">
        <f t="shared" si="1"/>
        <v>8224.8548123168966</v>
      </c>
    </row>
    <row r="84" spans="1:6">
      <c r="A84" s="89"/>
      <c r="B84" s="9"/>
      <c r="C84" s="9"/>
      <c r="D84" s="9"/>
      <c r="E84" s="9"/>
      <c r="F84" s="9"/>
    </row>
    <row r="85" spans="1:6">
      <c r="A85" s="107" t="s">
        <v>176</v>
      </c>
      <c r="B85" s="107"/>
      <c r="C85" s="107"/>
      <c r="D85" s="107"/>
      <c r="E85" s="107"/>
      <c r="F85" s="107"/>
    </row>
    <row r="86" spans="1:6">
      <c r="A86" s="89" t="s">
        <v>69</v>
      </c>
      <c r="B86" s="85">
        <f t="shared" ref="B86:F93" si="2">B33*$H56</f>
        <v>447.57281553398059</v>
      </c>
      <c r="C86" s="85">
        <f t="shared" si="2"/>
        <v>806.79611650485435</v>
      </c>
      <c r="D86" s="85">
        <f t="shared" si="2"/>
        <v>1166.0194174757282</v>
      </c>
      <c r="E86" s="85">
        <f t="shared" si="2"/>
        <v>1525.2427184466019</v>
      </c>
      <c r="F86" s="85">
        <f t="shared" si="2"/>
        <v>1884.4660194174758</v>
      </c>
    </row>
    <row r="87" spans="1:6">
      <c r="A87" s="89" t="s">
        <v>70</v>
      </c>
      <c r="B87" s="85">
        <f t="shared" si="2"/>
        <v>1250.824771420492</v>
      </c>
      <c r="C87" s="85">
        <f t="shared" si="2"/>
        <v>1949.2883400886039</v>
      </c>
      <c r="D87" s="85">
        <f t="shared" si="2"/>
        <v>2647.7519087567161</v>
      </c>
      <c r="E87" s="85">
        <f t="shared" si="2"/>
        <v>3346.2154774248279</v>
      </c>
      <c r="F87" s="85">
        <f t="shared" si="2"/>
        <v>4044.6790460929401</v>
      </c>
    </row>
    <row r="88" spans="1:6">
      <c r="A88" s="89" t="s">
        <v>71</v>
      </c>
      <c r="B88" s="85">
        <f t="shared" si="2"/>
        <v>2006.905658961479</v>
      </c>
      <c r="C88" s="85">
        <f t="shared" si="2"/>
        <v>3024.5431841621926</v>
      </c>
      <c r="D88" s="85">
        <f t="shared" si="2"/>
        <v>4042.1807093629059</v>
      </c>
      <c r="E88" s="85">
        <f t="shared" si="2"/>
        <v>5059.8182345636196</v>
      </c>
      <c r="F88" s="85">
        <f t="shared" si="2"/>
        <v>6077.4557597643334</v>
      </c>
    </row>
    <row r="89" spans="1:6">
      <c r="A89" s="89" t="s">
        <v>72</v>
      </c>
      <c r="B89" s="85">
        <f t="shared" si="2"/>
        <v>2717.8818795740926</v>
      </c>
      <c r="C89" s="85">
        <f t="shared" si="2"/>
        <v>4035.5081716330596</v>
      </c>
      <c r="D89" s="85">
        <f t="shared" si="2"/>
        <v>5353.1344636920267</v>
      </c>
      <c r="E89" s="85">
        <f t="shared" si="2"/>
        <v>6670.7607557509928</v>
      </c>
      <c r="F89" s="85">
        <f t="shared" si="2"/>
        <v>7988.3870478099598</v>
      </c>
    </row>
    <row r="90" spans="1:6">
      <c r="A90" s="89" t="s">
        <v>73</v>
      </c>
      <c r="B90" s="85">
        <f t="shared" si="2"/>
        <v>3385.7394787078442</v>
      </c>
      <c r="C90" s="85">
        <f t="shared" si="2"/>
        <v>4985.0161649560841</v>
      </c>
      <c r="D90" s="85">
        <f t="shared" si="2"/>
        <v>6584.2928512043245</v>
      </c>
      <c r="E90" s="85">
        <f t="shared" si="2"/>
        <v>8183.5695374525649</v>
      </c>
      <c r="F90" s="85">
        <f t="shared" si="2"/>
        <v>9782.8462237008043</v>
      </c>
    </row>
    <row r="91" spans="1:6">
      <c r="A91" s="89" t="s">
        <v>74</v>
      </c>
      <c r="B91" s="85">
        <f t="shared" si="2"/>
        <v>4012.3870737713883</v>
      </c>
      <c r="C91" s="85">
        <f t="shared" si="2"/>
        <v>5875.7895448925192</v>
      </c>
      <c r="D91" s="85">
        <f t="shared" si="2"/>
        <v>7739.1920160136506</v>
      </c>
      <c r="E91" s="85">
        <f t="shared" si="2"/>
        <v>9602.594487134782</v>
      </c>
      <c r="F91" s="85">
        <f t="shared" si="2"/>
        <v>11465.996958255913</v>
      </c>
    </row>
    <row r="92" spans="1:6">
      <c r="A92" s="89" t="s">
        <v>121</v>
      </c>
      <c r="B92" s="85">
        <f t="shared" si="2"/>
        <v>4599.6586796693528</v>
      </c>
      <c r="C92" s="85">
        <f t="shared" si="2"/>
        <v>6710.444243116699</v>
      </c>
      <c r="D92" s="85">
        <f t="shared" si="2"/>
        <v>8821.2298065640443</v>
      </c>
      <c r="E92" s="85">
        <f t="shared" si="2"/>
        <v>10932.015370011391</v>
      </c>
      <c r="F92" s="85">
        <f t="shared" si="2"/>
        <v>13042.800933458739</v>
      </c>
    </row>
    <row r="93" spans="1:6">
      <c r="A93" s="89" t="s">
        <v>122</v>
      </c>
      <c r="B93" s="85">
        <f t="shared" si="2"/>
        <v>5149.3164354298024</v>
      </c>
      <c r="C93" s="85">
        <f t="shared" si="2"/>
        <v>7491.4936336392502</v>
      </c>
      <c r="D93" s="85">
        <f t="shared" si="2"/>
        <v>9833.6708318486981</v>
      </c>
      <c r="E93" s="85">
        <f t="shared" si="2"/>
        <v>12175.848030058145</v>
      </c>
      <c r="F93" s="85">
        <f t="shared" si="2"/>
        <v>14518.025228267592</v>
      </c>
    </row>
    <row r="94" spans="1:6">
      <c r="A94" s="89"/>
      <c r="B94" s="9"/>
      <c r="C94" s="9"/>
      <c r="D94" s="9"/>
      <c r="E94" s="9"/>
      <c r="F94" s="9"/>
    </row>
    <row r="95" spans="1:6">
      <c r="A95" s="108" t="s">
        <v>235</v>
      </c>
      <c r="B95" s="108"/>
      <c r="C95" s="108"/>
      <c r="D95" s="108"/>
      <c r="E95" s="107"/>
      <c r="F95" s="107"/>
    </row>
    <row r="96" spans="1:6">
      <c r="A96" s="89" t="s">
        <v>69</v>
      </c>
      <c r="B96" s="85">
        <f t="shared" ref="B96:F103" si="3">B43*$H56</f>
        <v>1771.8446601941748</v>
      </c>
      <c r="C96" s="85">
        <f t="shared" si="3"/>
        <v>2276.6990291262136</v>
      </c>
      <c r="D96" s="85">
        <f t="shared" si="3"/>
        <v>2781.5533980582522</v>
      </c>
      <c r="E96" s="85">
        <f t="shared" si="3"/>
        <v>3286.4077669902913</v>
      </c>
      <c r="F96" s="85">
        <f t="shared" si="3"/>
        <v>3791.2621359223303</v>
      </c>
    </row>
    <row r="97" spans="1:6">
      <c r="A97" s="89" t="s">
        <v>70</v>
      </c>
      <c r="B97" s="85">
        <f t="shared" si="3"/>
        <v>3025.7328683193514</v>
      </c>
      <c r="C97" s="85">
        <f t="shared" si="3"/>
        <v>4006.9752097275896</v>
      </c>
      <c r="D97" s="85">
        <f t="shared" si="3"/>
        <v>4988.2175511358282</v>
      </c>
      <c r="E97" s="85">
        <f t="shared" si="3"/>
        <v>5969.459892544066</v>
      </c>
      <c r="F97" s="85">
        <f t="shared" si="3"/>
        <v>6950.7022339523046</v>
      </c>
    </row>
    <row r="98" spans="1:6">
      <c r="A98" s="89" t="s">
        <v>71</v>
      </c>
      <c r="B98" s="85">
        <f t="shared" si="3"/>
        <v>4205.0759247277683</v>
      </c>
      <c r="C98" s="85">
        <f t="shared" si="3"/>
        <v>5634.5271966374039</v>
      </c>
      <c r="D98" s="85">
        <f t="shared" si="3"/>
        <v>7063.9784685470386</v>
      </c>
      <c r="E98" s="85">
        <f t="shared" si="3"/>
        <v>8493.4297404566751</v>
      </c>
      <c r="F98" s="85">
        <f t="shared" si="3"/>
        <v>9922.8810123663097</v>
      </c>
    </row>
    <row r="99" spans="1:6">
      <c r="A99" s="89" t="s">
        <v>72</v>
      </c>
      <c r="B99" s="85">
        <f t="shared" si="3"/>
        <v>5313.15254653582</v>
      </c>
      <c r="C99" s="85">
        <f t="shared" si="3"/>
        <v>7163.8710673442001</v>
      </c>
      <c r="D99" s="85">
        <f t="shared" si="3"/>
        <v>9014.5895881525812</v>
      </c>
      <c r="E99" s="85">
        <f t="shared" si="3"/>
        <v>10865.30810896096</v>
      </c>
      <c r="F99" s="85">
        <f t="shared" si="3"/>
        <v>12716.026629769342</v>
      </c>
    </row>
    <row r="100" spans="1:6">
      <c r="A100" s="89" t="s">
        <v>73</v>
      </c>
      <c r="B100" s="85">
        <f t="shared" si="3"/>
        <v>6353.1136969893687</v>
      </c>
      <c r="C100" s="85">
        <f t="shared" si="3"/>
        <v>8599.3469715257324</v>
      </c>
      <c r="D100" s="85">
        <f t="shared" si="3"/>
        <v>10845.580246062096</v>
      </c>
      <c r="E100" s="85">
        <f t="shared" si="3"/>
        <v>13091.813520598458</v>
      </c>
      <c r="F100" s="85">
        <f t="shared" si="3"/>
        <v>15338.046795134822</v>
      </c>
    </row>
    <row r="101" spans="1:6">
      <c r="A101" s="89" t="s">
        <v>74</v>
      </c>
      <c r="B101" s="85">
        <f t="shared" si="3"/>
        <v>7327.9872459819762</v>
      </c>
      <c r="C101" s="85">
        <f t="shared" si="3"/>
        <v>9945.1255481183962</v>
      </c>
      <c r="D101" s="85">
        <f t="shared" si="3"/>
        <v>12562.263850254816</v>
      </c>
      <c r="E101" s="85">
        <f t="shared" si="3"/>
        <v>15179.402152391236</v>
      </c>
      <c r="F101" s="85">
        <f t="shared" si="3"/>
        <v>17796.540454527658</v>
      </c>
    </row>
    <row r="102" spans="1:6">
      <c r="A102" s="89" t="s">
        <v>121</v>
      </c>
      <c r="B102" s="85">
        <f t="shared" si="3"/>
        <v>8240.6824674648906</v>
      </c>
      <c r="C102" s="85">
        <f t="shared" si="3"/>
        <v>11205.214117822758</v>
      </c>
      <c r="D102" s="85">
        <f t="shared" si="3"/>
        <v>14169.745768180626</v>
      </c>
      <c r="E102" s="85">
        <f t="shared" si="3"/>
        <v>17134.277418538495</v>
      </c>
      <c r="F102" s="85">
        <f t="shared" si="3"/>
        <v>20098.80906889636</v>
      </c>
    </row>
    <row r="103" spans="1:6">
      <c r="A103" s="89" t="s">
        <v>122</v>
      </c>
      <c r="B103" s="85">
        <f t="shared" si="3"/>
        <v>9093.9943792965387</v>
      </c>
      <c r="C103" s="85">
        <f t="shared" si="3"/>
        <v>12383.462658682709</v>
      </c>
      <c r="D103" s="85">
        <f t="shared" si="3"/>
        <v>15672.930938068879</v>
      </c>
      <c r="E103" s="85">
        <f t="shared" si="3"/>
        <v>18962.399217455051</v>
      </c>
      <c r="F103" s="85">
        <f t="shared" si="3"/>
        <v>22251.86749684122</v>
      </c>
    </row>
  </sheetData>
  <mergeCells count="11">
    <mergeCell ref="A1:C1"/>
    <mergeCell ref="A12:C12"/>
    <mergeCell ref="A22:C22"/>
    <mergeCell ref="A32:E32"/>
    <mergeCell ref="A42:D42"/>
    <mergeCell ref="A95:F95"/>
    <mergeCell ref="A54:E54"/>
    <mergeCell ref="G54:M54"/>
    <mergeCell ref="A65:E65"/>
    <mergeCell ref="A75:E75"/>
    <mergeCell ref="A85:F85"/>
  </mergeCells>
  <phoneticPr fontId="5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Privé</vt:lpstr>
      <vt:lpstr>Société</vt:lpstr>
      <vt:lpstr>km-an</vt:lpstr>
      <vt:lpstr>an-valeur revente</vt:lpstr>
      <vt:lpstr>km-an BonusMalus</vt:lpstr>
      <vt:lpstr>km-an TMC</vt:lpstr>
      <vt:lpstr>km-an TC</vt:lpstr>
      <vt:lpstr>km-an accises</vt:lpstr>
      <vt:lpstr>km-an taxe</vt:lpstr>
      <vt:lpstr>Résumé</vt:lpstr>
    </vt:vector>
  </TitlesOfParts>
  <Company>Immovation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Bergmans</dc:creator>
  <cp:lastModifiedBy>Martin Bergmans</cp:lastModifiedBy>
  <dcterms:created xsi:type="dcterms:W3CDTF">2015-06-20T10:46:24Z</dcterms:created>
  <dcterms:modified xsi:type="dcterms:W3CDTF">2015-08-04T11:22:23Z</dcterms:modified>
</cp:coreProperties>
</file>